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eb\Documents\Historische Kring HKE\Jaarstukken\"/>
    </mc:Choice>
  </mc:AlternateContent>
  <xr:revisionPtr revIDLastSave="0" documentId="8_{3EAA1ECE-BC35-4BB1-B80A-40672E85145D}" xr6:coauthVersionLast="47" xr6:coauthVersionMax="47" xr10:uidLastSave="{00000000-0000-0000-0000-000000000000}"/>
  <bookViews>
    <workbookView xWindow="-120" yWindow="-120" windowWidth="29040" windowHeight="15720" activeTab="1" xr2:uid="{BB858353-177C-4D25-911D-A1037BB0164E}"/>
  </bookViews>
  <sheets>
    <sheet name="StaatB&amp;L2025" sheetId="21" r:id="rId1"/>
    <sheet name="balans 31122025" sheetId="20" r:id="rId2"/>
    <sheet name="koba 25" sheetId="19" r:id="rId3"/>
    <sheet name="StaatB&amp;L2024" sheetId="18" r:id="rId4"/>
    <sheet name="balans 31122024" sheetId="17" r:id="rId5"/>
    <sheet name="koba 24" sheetId="16" r:id="rId6"/>
    <sheet name="Staat B&amp;L23" sheetId="15" r:id="rId7"/>
    <sheet name="balans31dec23" sheetId="14" r:id="rId8"/>
    <sheet name="koba 23" sheetId="13" r:id="rId9"/>
    <sheet name="Staat B&amp;L22" sheetId="12" r:id="rId10"/>
    <sheet name="balans 31dec22" sheetId="11" r:id="rId11"/>
    <sheet name="koba 2022" sheetId="10" r:id="rId12"/>
    <sheet name="Staat B&amp;L 2021" sheetId="9" r:id="rId13"/>
    <sheet name="Balans 31dec21" sheetId="8" r:id="rId14"/>
    <sheet name="koba 2021" sheetId="7" r:id="rId15"/>
    <sheet name="Staat van baten en lasten" sheetId="2" r:id="rId16"/>
    <sheet name="balans" sheetId="1" r:id="rId17"/>
    <sheet name="koba 2020HKE" sheetId="6" r:id="rId18"/>
    <sheet name="stukken jaarvergadering 2019" sheetId="5" r:id="rId19"/>
    <sheet name="koba 2019 HKE" sheetId="4" r:id="rId20"/>
    <sheet name="koba 2018 KHE" sheetId="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20" l="1"/>
  <c r="G17" i="20"/>
  <c r="D18" i="20"/>
  <c r="G18" i="20"/>
  <c r="D22" i="20"/>
  <c r="D23" i="20"/>
  <c r="G23" i="20"/>
  <c r="D27" i="20"/>
  <c r="G27" i="20"/>
  <c r="D28" i="20"/>
  <c r="G28" i="20"/>
  <c r="O56" i="21"/>
  <c r="I56" i="21"/>
  <c r="I50" i="21"/>
  <c r="O48" i="21"/>
  <c r="O50" i="21" s="1"/>
  <c r="L48" i="21"/>
  <c r="L50" i="21" s="1"/>
  <c r="I48" i="21"/>
  <c r="O47" i="21"/>
  <c r="L47" i="21"/>
  <c r="I47" i="21"/>
  <c r="O42" i="21"/>
  <c r="L42" i="21"/>
  <c r="I42" i="21"/>
  <c r="N39" i="21"/>
  <c r="O32" i="21"/>
  <c r="L32" i="21"/>
  <c r="I32" i="21"/>
  <c r="O21" i="21"/>
  <c r="L21" i="21"/>
  <c r="I21" i="21"/>
  <c r="I67" i="19"/>
  <c r="L74" i="19"/>
  <c r="I88" i="19"/>
  <c r="I82" i="19"/>
  <c r="L45" i="19" l="1"/>
  <c r="F47" i="21"/>
  <c r="F42" i="21"/>
  <c r="F32" i="21"/>
  <c r="F21" i="21"/>
  <c r="F18" i="19"/>
  <c r="F25" i="19" s="1"/>
  <c r="L91" i="19"/>
  <c r="L90" i="19"/>
  <c r="L89" i="19"/>
  <c r="L88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6" i="19"/>
  <c r="L72" i="19"/>
  <c r="L71" i="19"/>
  <c r="L70" i="19"/>
  <c r="L69" i="19"/>
  <c r="L68" i="19"/>
  <c r="L67" i="19"/>
  <c r="L66" i="19"/>
  <c r="L65" i="19"/>
  <c r="J62" i="19"/>
  <c r="L50" i="19"/>
  <c r="L49" i="19"/>
  <c r="L48" i="19"/>
  <c r="L47" i="19"/>
  <c r="L46" i="19"/>
  <c r="L44" i="19"/>
  <c r="L43" i="19"/>
  <c r="L42" i="19"/>
  <c r="L41" i="19"/>
  <c r="L40" i="19"/>
  <c r="L39" i="19"/>
  <c r="L38" i="19"/>
  <c r="L37" i="19"/>
  <c r="J35" i="19"/>
  <c r="K25" i="19"/>
  <c r="K35" i="19" s="1"/>
  <c r="K51" i="19" s="1"/>
  <c r="K62" i="19" s="1"/>
  <c r="K92" i="19" s="1"/>
  <c r="I25" i="19"/>
  <c r="I35" i="19" s="1"/>
  <c r="I51" i="19" s="1"/>
  <c r="I62" i="19" s="1"/>
  <c r="I92" i="19" s="1"/>
  <c r="G25" i="19"/>
  <c r="G35" i="19" s="1"/>
  <c r="L24" i="19"/>
  <c r="L23" i="19"/>
  <c r="L22" i="19"/>
  <c r="L21" i="19"/>
  <c r="L20" i="19"/>
  <c r="L19" i="19"/>
  <c r="L17" i="19"/>
  <c r="L16" i="19"/>
  <c r="L15" i="19"/>
  <c r="L14" i="19"/>
  <c r="L13" i="19"/>
  <c r="L12" i="19"/>
  <c r="L11" i="19"/>
  <c r="L10" i="19"/>
  <c r="L9" i="19"/>
  <c r="L8" i="19"/>
  <c r="L7" i="19"/>
  <c r="L5" i="19"/>
  <c r="G40" i="18"/>
  <c r="H43" i="18" s="1"/>
  <c r="F17" i="17"/>
  <c r="G20" i="17" s="1"/>
  <c r="I39" i="16"/>
  <c r="L39" i="16" s="1"/>
  <c r="H23" i="16"/>
  <c r="I69" i="16"/>
  <c r="L69" i="16" s="1"/>
  <c r="L26" i="16"/>
  <c r="L51" i="16"/>
  <c r="H44" i="16"/>
  <c r="I84" i="16"/>
  <c r="L84" i="16" s="1"/>
  <c r="I14" i="16"/>
  <c r="L14" i="16" s="1"/>
  <c r="H13" i="16"/>
  <c r="L13" i="16" s="1"/>
  <c r="I16" i="16"/>
  <c r="L15" i="16"/>
  <c r="N56" i="18"/>
  <c r="N48" i="18"/>
  <c r="K48" i="18"/>
  <c r="N43" i="18"/>
  <c r="K43" i="18"/>
  <c r="N33" i="18"/>
  <c r="N49" i="18" s="1"/>
  <c r="K33" i="18"/>
  <c r="K49" i="18" s="1"/>
  <c r="N22" i="18"/>
  <c r="N51" i="18" s="1"/>
  <c r="K22" i="18"/>
  <c r="K51" i="18" s="1"/>
  <c r="H56" i="18"/>
  <c r="H48" i="18"/>
  <c r="E48" i="18"/>
  <c r="E43" i="18"/>
  <c r="H33" i="18"/>
  <c r="E33" i="18"/>
  <c r="H22" i="18"/>
  <c r="E22" i="18"/>
  <c r="G30" i="17"/>
  <c r="G26" i="17"/>
  <c r="G31" i="17" s="1"/>
  <c r="G14" i="17"/>
  <c r="D30" i="17"/>
  <c r="D26" i="17"/>
  <c r="D20" i="17"/>
  <c r="D14" i="17"/>
  <c r="F20" i="16"/>
  <c r="L20" i="16" s="1"/>
  <c r="L25" i="16"/>
  <c r="L21" i="16"/>
  <c r="L19" i="16"/>
  <c r="L12" i="16"/>
  <c r="L11" i="16"/>
  <c r="L8" i="16"/>
  <c r="L6" i="16"/>
  <c r="N54" i="16"/>
  <c r="N65" i="16" s="1"/>
  <c r="N94" i="16" s="1"/>
  <c r="N27" i="16"/>
  <c r="L93" i="16"/>
  <c r="L92" i="16"/>
  <c r="L91" i="16"/>
  <c r="L90" i="16"/>
  <c r="L88" i="16"/>
  <c r="L87" i="16"/>
  <c r="L86" i="16"/>
  <c r="L85" i="16"/>
  <c r="L77" i="16"/>
  <c r="L83" i="16"/>
  <c r="L82" i="16"/>
  <c r="L81" i="16"/>
  <c r="L80" i="16"/>
  <c r="L79" i="16"/>
  <c r="L78" i="16"/>
  <c r="L76" i="16"/>
  <c r="L75" i="16"/>
  <c r="L74" i="16"/>
  <c r="L73" i="16"/>
  <c r="L72" i="16"/>
  <c r="L71" i="16"/>
  <c r="L70" i="16"/>
  <c r="L68" i="16"/>
  <c r="J65" i="16"/>
  <c r="L53" i="16"/>
  <c r="L52" i="16"/>
  <c r="L50" i="16"/>
  <c r="L49" i="16"/>
  <c r="L48" i="16"/>
  <c r="L47" i="16"/>
  <c r="L46" i="16"/>
  <c r="L45" i="16"/>
  <c r="L44" i="16"/>
  <c r="L43" i="16"/>
  <c r="L42" i="16"/>
  <c r="L41" i="16"/>
  <c r="L40" i="16"/>
  <c r="J37" i="16"/>
  <c r="K27" i="16"/>
  <c r="K37" i="16" s="1"/>
  <c r="K54" i="16" s="1"/>
  <c r="K65" i="16" s="1"/>
  <c r="K94" i="16" s="1"/>
  <c r="L24" i="16"/>
  <c r="L22" i="16"/>
  <c r="L18" i="16"/>
  <c r="L17" i="16"/>
  <c r="L16" i="16"/>
  <c r="L10" i="16"/>
  <c r="L9" i="16"/>
  <c r="L7" i="16"/>
  <c r="L5" i="16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2" i="13"/>
  <c r="L11" i="13"/>
  <c r="L10" i="13"/>
  <c r="L9" i="13"/>
  <c r="L8" i="13"/>
  <c r="L7" i="13"/>
  <c r="L6" i="13"/>
  <c r="L5" i="13"/>
  <c r="I87" i="13"/>
  <c r="I73" i="13"/>
  <c r="L73" i="13" s="1"/>
  <c r="I77" i="13"/>
  <c r="N45" i="13"/>
  <c r="I45" i="13"/>
  <c r="G45" i="13"/>
  <c r="I70" i="13"/>
  <c r="L70" i="13" s="1"/>
  <c r="I71" i="13"/>
  <c r="L71" i="13" s="1"/>
  <c r="L77" i="13"/>
  <c r="N48" i="13"/>
  <c r="I15" i="13"/>
  <c r="I14" i="13"/>
  <c r="L76" i="13"/>
  <c r="K40" i="13"/>
  <c r="L40" i="13" s="1"/>
  <c r="G41" i="13"/>
  <c r="L41" i="13" s="1"/>
  <c r="G48" i="13"/>
  <c r="L48" i="13" s="1"/>
  <c r="G16" i="13"/>
  <c r="G28" i="13" s="1"/>
  <c r="G38" i="13" s="1"/>
  <c r="H13" i="13"/>
  <c r="L13" i="13" s="1"/>
  <c r="N59" i="15"/>
  <c r="J58" i="15"/>
  <c r="N49" i="15"/>
  <c r="K49" i="15"/>
  <c r="N43" i="15"/>
  <c r="K43" i="15"/>
  <c r="K33" i="15"/>
  <c r="M28" i="15"/>
  <c r="N33" i="15" s="1"/>
  <c r="K22" i="15"/>
  <c r="N7" i="15"/>
  <c r="N22" i="15" s="1"/>
  <c r="H58" i="15"/>
  <c r="H49" i="15"/>
  <c r="E49" i="15"/>
  <c r="H43" i="15"/>
  <c r="E43" i="15"/>
  <c r="H33" i="15"/>
  <c r="E33" i="15"/>
  <c r="E22" i="15"/>
  <c r="H22" i="15"/>
  <c r="G32" i="14"/>
  <c r="G26" i="14"/>
  <c r="G27" i="14" s="1"/>
  <c r="G33" i="14" s="1"/>
  <c r="G21" i="14"/>
  <c r="G16" i="14"/>
  <c r="G22" i="14" s="1"/>
  <c r="D32" i="14"/>
  <c r="D27" i="14"/>
  <c r="D21" i="14"/>
  <c r="D16" i="14"/>
  <c r="F19" i="13"/>
  <c r="F28" i="13" s="1"/>
  <c r="F38" i="13" s="1"/>
  <c r="F54" i="13" s="1"/>
  <c r="F65" i="13" s="1"/>
  <c r="F99" i="13" s="1"/>
  <c r="L98" i="13"/>
  <c r="L97" i="13"/>
  <c r="L96" i="13"/>
  <c r="L95" i="13"/>
  <c r="L94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5" i="13"/>
  <c r="L74" i="13"/>
  <c r="L72" i="13"/>
  <c r="L69" i="13"/>
  <c r="L68" i="13"/>
  <c r="J65" i="13"/>
  <c r="L53" i="13"/>
  <c r="L52" i="13"/>
  <c r="L51" i="13"/>
  <c r="L50" i="13"/>
  <c r="L49" i="13"/>
  <c r="L47" i="13"/>
  <c r="L46" i="13"/>
  <c r="L44" i="13"/>
  <c r="L43" i="13"/>
  <c r="L42" i="13"/>
  <c r="J38" i="13"/>
  <c r="K28" i="13"/>
  <c r="K38" i="13" s="1"/>
  <c r="D25" i="11"/>
  <c r="L25" i="10"/>
  <c r="K8" i="10"/>
  <c r="G28" i="12"/>
  <c r="H60" i="12"/>
  <c r="H7" i="12"/>
  <c r="I88" i="10"/>
  <c r="L84" i="10"/>
  <c r="I76" i="10"/>
  <c r="I95" i="10"/>
  <c r="I78" i="10"/>
  <c r="I73" i="10"/>
  <c r="L73" i="10" s="1"/>
  <c r="I49" i="10"/>
  <c r="L18" i="19" l="1"/>
  <c r="G51" i="19"/>
  <c r="G62" i="19" s="1"/>
  <c r="G92" i="19" s="1"/>
  <c r="F48" i="21"/>
  <c r="F50" i="21" s="1"/>
  <c r="L25" i="19"/>
  <c r="L35" i="19" s="1"/>
  <c r="L51" i="19" s="1"/>
  <c r="L62" i="19" s="1"/>
  <c r="L92" i="19" s="1"/>
  <c r="F35" i="19"/>
  <c r="F51" i="19" s="1"/>
  <c r="F62" i="19" s="1"/>
  <c r="F92" i="19" s="1"/>
  <c r="H25" i="19"/>
  <c r="H35" i="19" s="1"/>
  <c r="H51" i="19" s="1"/>
  <c r="H62" i="19" s="1"/>
  <c r="H92" i="19" s="1"/>
  <c r="E49" i="18"/>
  <c r="E51" i="18" s="1"/>
  <c r="G21" i="17"/>
  <c r="H27" i="16"/>
  <c r="H37" i="16" s="1"/>
  <c r="H54" i="16" s="1"/>
  <c r="H65" i="16" s="1"/>
  <c r="H94" i="16" s="1"/>
  <c r="F27" i="16"/>
  <c r="F37" i="16" s="1"/>
  <c r="F54" i="16" s="1"/>
  <c r="F65" i="16" s="1"/>
  <c r="F94" i="16" s="1"/>
  <c r="L23" i="16"/>
  <c r="H49" i="18"/>
  <c r="H51" i="18" s="1"/>
  <c r="D31" i="17"/>
  <c r="D21" i="17"/>
  <c r="L27" i="16"/>
  <c r="L37" i="16" s="1"/>
  <c r="L54" i="16" s="1"/>
  <c r="L65" i="16" s="1"/>
  <c r="L94" i="16" s="1"/>
  <c r="I27" i="16"/>
  <c r="I37" i="16" s="1"/>
  <c r="I54" i="16" s="1"/>
  <c r="I65" i="16" s="1"/>
  <c r="I94" i="16" s="1"/>
  <c r="G27" i="16"/>
  <c r="G37" i="16" s="1"/>
  <c r="G54" i="16" s="1"/>
  <c r="G65" i="16" s="1"/>
  <c r="G94" i="16" s="1"/>
  <c r="N50" i="15"/>
  <c r="L45" i="13"/>
  <c r="E50" i="15"/>
  <c r="E52" i="15" s="1"/>
  <c r="H28" i="13"/>
  <c r="H38" i="13" s="1"/>
  <c r="H54" i="13" s="1"/>
  <c r="H65" i="13" s="1"/>
  <c r="H99" i="13" s="1"/>
  <c r="K54" i="13"/>
  <c r="K65" i="13" s="1"/>
  <c r="K99" i="13" s="1"/>
  <c r="G54" i="13"/>
  <c r="G65" i="13" s="1"/>
  <c r="G99" i="13" s="1"/>
  <c r="K50" i="15"/>
  <c r="N52" i="15"/>
  <c r="H50" i="15"/>
  <c r="H52" i="15" s="1"/>
  <c r="K52" i="15"/>
  <c r="D33" i="14"/>
  <c r="D22" i="14"/>
  <c r="I28" i="13"/>
  <c r="I38" i="13" s="1"/>
  <c r="I54" i="13" s="1"/>
  <c r="I65" i="13" s="1"/>
  <c r="I99" i="13" s="1"/>
  <c r="H40" i="10"/>
  <c r="L40" i="10" s="1"/>
  <c r="G15" i="10"/>
  <c r="L24" i="10"/>
  <c r="K39" i="10"/>
  <c r="L39" i="10" s="1"/>
  <c r="L22" i="10"/>
  <c r="L81" i="10"/>
  <c r="I14" i="10"/>
  <c r="H12" i="10"/>
  <c r="L12" i="10" s="1"/>
  <c r="L96" i="10"/>
  <c r="K9" i="10"/>
  <c r="L9" i="10" s="1"/>
  <c r="L8" i="10"/>
  <c r="J37" i="10"/>
  <c r="J69" i="10"/>
  <c r="K88" i="10"/>
  <c r="L88" i="10" s="1"/>
  <c r="K7" i="10"/>
  <c r="L7" i="10" s="1"/>
  <c r="E50" i="12"/>
  <c r="E44" i="12"/>
  <c r="E33" i="12"/>
  <c r="E22" i="12"/>
  <c r="N50" i="12"/>
  <c r="M35" i="12"/>
  <c r="N44" i="12" s="1"/>
  <c r="M28" i="12"/>
  <c r="N33" i="12" s="1"/>
  <c r="N20" i="12"/>
  <c r="N22" i="12" s="1"/>
  <c r="N59" i="12"/>
  <c r="K50" i="12"/>
  <c r="K44" i="12"/>
  <c r="K33" i="12"/>
  <c r="K22" i="12"/>
  <c r="D59" i="12"/>
  <c r="H50" i="12"/>
  <c r="H44" i="12"/>
  <c r="H33" i="12"/>
  <c r="H22" i="12"/>
  <c r="G32" i="11"/>
  <c r="G25" i="11"/>
  <c r="G26" i="11" s="1"/>
  <c r="G20" i="11"/>
  <c r="G15" i="11"/>
  <c r="G21" i="11" s="1"/>
  <c r="D32" i="11"/>
  <c r="D26" i="11"/>
  <c r="D20" i="11"/>
  <c r="D15" i="11"/>
  <c r="F18" i="10"/>
  <c r="F27" i="10" s="1"/>
  <c r="F37" i="10" s="1"/>
  <c r="L102" i="10"/>
  <c r="L101" i="10"/>
  <c r="L100" i="10"/>
  <c r="L99" i="10"/>
  <c r="L98" i="10"/>
  <c r="L95" i="10"/>
  <c r="L94" i="10"/>
  <c r="L93" i="10"/>
  <c r="L92" i="10"/>
  <c r="L91" i="10"/>
  <c r="L90" i="10"/>
  <c r="L89" i="10"/>
  <c r="L87" i="10"/>
  <c r="L86" i="10"/>
  <c r="L85" i="10"/>
  <c r="L83" i="10"/>
  <c r="L82" i="10"/>
  <c r="L80" i="10"/>
  <c r="L79" i="10"/>
  <c r="L78" i="10"/>
  <c r="L77" i="10"/>
  <c r="L76" i="10"/>
  <c r="L75" i="10"/>
  <c r="L74" i="10"/>
  <c r="L72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26" i="10"/>
  <c r="L23" i="10"/>
  <c r="L21" i="10"/>
  <c r="L16" i="10"/>
  <c r="G27" i="10"/>
  <c r="G37" i="10" s="1"/>
  <c r="L13" i="10"/>
  <c r="L10" i="10"/>
  <c r="G35" i="8"/>
  <c r="D35" i="8"/>
  <c r="D27" i="8"/>
  <c r="N15" i="9"/>
  <c r="H19" i="9"/>
  <c r="G27" i="9"/>
  <c r="L94" i="7"/>
  <c r="I93" i="7"/>
  <c r="J38" i="9"/>
  <c r="G34" i="9"/>
  <c r="I53" i="7"/>
  <c r="I96" i="7"/>
  <c r="I54" i="7"/>
  <c r="I101" i="7"/>
  <c r="L101" i="7" s="1"/>
  <c r="I81" i="7"/>
  <c r="I79" i="7"/>
  <c r="I86" i="7"/>
  <c r="I78" i="7"/>
  <c r="I76" i="7"/>
  <c r="L48" i="7"/>
  <c r="I52" i="7"/>
  <c r="L28" i="13" l="1"/>
  <c r="L38" i="13" s="1"/>
  <c r="L54" i="13" s="1"/>
  <c r="L65" i="13" s="1"/>
  <c r="L99" i="13" s="1"/>
  <c r="E51" i="12"/>
  <c r="E53" i="12" s="1"/>
  <c r="N51" i="12"/>
  <c r="K51" i="12"/>
  <c r="N53" i="12"/>
  <c r="G33" i="11"/>
  <c r="L18" i="10"/>
  <c r="G58" i="10"/>
  <c r="K53" i="12"/>
  <c r="H51" i="12"/>
  <c r="H53" i="12" s="1"/>
  <c r="D33" i="11"/>
  <c r="D21" i="11"/>
  <c r="H27" i="10"/>
  <c r="I27" i="10"/>
  <c r="K27" i="10"/>
  <c r="L15" i="10"/>
  <c r="L14" i="10"/>
  <c r="D28" i="8"/>
  <c r="L86" i="7"/>
  <c r="K98" i="7"/>
  <c r="L98" i="7" s="1"/>
  <c r="K9" i="7"/>
  <c r="L9" i="7" s="1"/>
  <c r="L55" i="7"/>
  <c r="L54" i="7"/>
  <c r="I17" i="7"/>
  <c r="L17" i="7" s="1"/>
  <c r="N41" i="7"/>
  <c r="L43" i="7"/>
  <c r="K96" i="7"/>
  <c r="L96" i="7" s="1"/>
  <c r="K10" i="7"/>
  <c r="L10" i="7" s="1"/>
  <c r="L95" i="7"/>
  <c r="K40" i="7"/>
  <c r="L40" i="7" s="1"/>
  <c r="D58" i="9"/>
  <c r="I14" i="7"/>
  <c r="L14" i="7" s="1"/>
  <c r="I15" i="7"/>
  <c r="G16" i="7"/>
  <c r="L16" i="7" s="1"/>
  <c r="H13" i="7"/>
  <c r="H28" i="7" s="1"/>
  <c r="H38" i="7" s="1"/>
  <c r="H62" i="7" s="1"/>
  <c r="H73" i="7" s="1"/>
  <c r="H105" i="7" s="1"/>
  <c r="K7" i="7"/>
  <c r="L7" i="7" s="1"/>
  <c r="H49" i="9"/>
  <c r="H43" i="9"/>
  <c r="H32" i="9"/>
  <c r="H21" i="9"/>
  <c r="E49" i="9"/>
  <c r="E43" i="9"/>
  <c r="E32" i="9"/>
  <c r="D34" i="8"/>
  <c r="D22" i="8"/>
  <c r="D17" i="8"/>
  <c r="F19" i="7"/>
  <c r="J58" i="9"/>
  <c r="N49" i="9"/>
  <c r="K49" i="9"/>
  <c r="M41" i="9"/>
  <c r="K43" i="9"/>
  <c r="M34" i="9"/>
  <c r="K32" i="9"/>
  <c r="M31" i="9"/>
  <c r="M27" i="9"/>
  <c r="M25" i="9"/>
  <c r="N19" i="9"/>
  <c r="N8" i="9"/>
  <c r="G34" i="8"/>
  <c r="G27" i="8"/>
  <c r="G28" i="8" s="1"/>
  <c r="F20" i="8"/>
  <c r="G22" i="8" s="1"/>
  <c r="G17" i="8"/>
  <c r="F105" i="7"/>
  <c r="L104" i="7"/>
  <c r="L103" i="7"/>
  <c r="L102" i="7"/>
  <c r="L100" i="7"/>
  <c r="L97" i="7"/>
  <c r="L93" i="7"/>
  <c r="L92" i="7"/>
  <c r="L91" i="7"/>
  <c r="L90" i="7"/>
  <c r="L89" i="7"/>
  <c r="L88" i="7"/>
  <c r="L87" i="7"/>
  <c r="L85" i="7"/>
  <c r="L84" i="7"/>
  <c r="L83" i="7"/>
  <c r="L82" i="7"/>
  <c r="L81" i="7"/>
  <c r="L80" i="7"/>
  <c r="L79" i="7"/>
  <c r="L78" i="7"/>
  <c r="L77" i="7"/>
  <c r="L76" i="7"/>
  <c r="L60" i="7"/>
  <c r="L59" i="7"/>
  <c r="L58" i="7"/>
  <c r="L57" i="7"/>
  <c r="L56" i="7"/>
  <c r="L53" i="7"/>
  <c r="L52" i="7"/>
  <c r="L51" i="7"/>
  <c r="L50" i="7"/>
  <c r="L49" i="7"/>
  <c r="L47" i="7"/>
  <c r="L46" i="7"/>
  <c r="L45" i="7"/>
  <c r="L44" i="7"/>
  <c r="L42" i="7"/>
  <c r="L41" i="7"/>
  <c r="L27" i="7"/>
  <c r="L25" i="7"/>
  <c r="L24" i="7"/>
  <c r="L23" i="7"/>
  <c r="L22" i="7"/>
  <c r="L11" i="7"/>
  <c r="L8" i="7"/>
  <c r="D44" i="2"/>
  <c r="D16" i="2"/>
  <c r="D17" i="2"/>
  <c r="G47" i="2"/>
  <c r="H8" i="2"/>
  <c r="G35" i="2"/>
  <c r="D26" i="1"/>
  <c r="L101" i="6"/>
  <c r="F102" i="6"/>
  <c r="I37" i="10" l="1"/>
  <c r="I58" i="10" s="1"/>
  <c r="I69" i="10" s="1"/>
  <c r="I103" i="10" s="1"/>
  <c r="L27" i="10"/>
  <c r="L37" i="10" s="1"/>
  <c r="L58" i="10" s="1"/>
  <c r="L69" i="10" s="1"/>
  <c r="L103" i="10" s="1"/>
  <c r="H37" i="10"/>
  <c r="H58" i="10" s="1"/>
  <c r="H69" i="10" s="1"/>
  <c r="H103" i="10" s="1"/>
  <c r="K37" i="10"/>
  <c r="K58" i="10" s="1"/>
  <c r="K69" i="10" s="1"/>
  <c r="K103" i="10" s="1"/>
  <c r="G69" i="10"/>
  <c r="G103" i="10" s="1"/>
  <c r="N32" i="9"/>
  <c r="N50" i="9" s="1"/>
  <c r="I28" i="7"/>
  <c r="I38" i="7" s="1"/>
  <c r="I62" i="7" s="1"/>
  <c r="I73" i="7" s="1"/>
  <c r="I105" i="7" s="1"/>
  <c r="G23" i="8"/>
  <c r="F28" i="7"/>
  <c r="F38" i="7" s="1"/>
  <c r="F62" i="7" s="1"/>
  <c r="K28" i="7"/>
  <c r="K38" i="7" s="1"/>
  <c r="K62" i="7" s="1"/>
  <c r="K73" i="7" s="1"/>
  <c r="K105" i="7" s="1"/>
  <c r="N43" i="9"/>
  <c r="E21" i="9"/>
  <c r="K21" i="9"/>
  <c r="E50" i="9"/>
  <c r="H50" i="9"/>
  <c r="H52" i="9" s="1"/>
  <c r="K50" i="9"/>
  <c r="N21" i="9"/>
  <c r="D23" i="8"/>
  <c r="L19" i="7"/>
  <c r="G28" i="7"/>
  <c r="G38" i="7" s="1"/>
  <c r="G62" i="7" s="1"/>
  <c r="G73" i="7" s="1"/>
  <c r="G105" i="7" s="1"/>
  <c r="L13" i="7"/>
  <c r="L15" i="7"/>
  <c r="L26" i="7"/>
  <c r="E19" i="2"/>
  <c r="D64" i="2"/>
  <c r="D35" i="1"/>
  <c r="C19" i="1"/>
  <c r="G38" i="2"/>
  <c r="G29" i="2"/>
  <c r="G31" i="2"/>
  <c r="H23" i="2"/>
  <c r="L51" i="6"/>
  <c r="I76" i="6"/>
  <c r="L87" i="6"/>
  <c r="L88" i="6"/>
  <c r="L8" i="6"/>
  <c r="L44" i="6"/>
  <c r="I54" i="6"/>
  <c r="L54" i="6" s="1"/>
  <c r="L83" i="6"/>
  <c r="N52" i="9" l="1"/>
  <c r="K52" i="9"/>
  <c r="E52" i="9"/>
  <c r="L28" i="7"/>
  <c r="L38" i="7" s="1"/>
  <c r="L62" i="7" s="1"/>
  <c r="L73" i="7" s="1"/>
  <c r="L105" i="7" s="1"/>
  <c r="I43" i="6"/>
  <c r="L43" i="6" s="1"/>
  <c r="L11" i="6"/>
  <c r="I89" i="6"/>
  <c r="L89" i="6" s="1"/>
  <c r="L52" i="6"/>
  <c r="G26" i="1"/>
  <c r="F31" i="1"/>
  <c r="K20" i="6"/>
  <c r="K28" i="6"/>
  <c r="L28" i="6" s="1"/>
  <c r="E91" i="5"/>
  <c r="D95" i="5"/>
  <c r="E57" i="5"/>
  <c r="E64" i="5"/>
  <c r="H10" i="5"/>
  <c r="H21" i="5" s="1"/>
  <c r="G17" i="6"/>
  <c r="L17" i="6" s="1"/>
  <c r="I16" i="6"/>
  <c r="L16" i="6" s="1"/>
  <c r="G42" i="6"/>
  <c r="L42" i="6" s="1"/>
  <c r="H14" i="6"/>
  <c r="H30" i="6" s="1"/>
  <c r="L12" i="6"/>
  <c r="L26" i="6"/>
  <c r="L85" i="6"/>
  <c r="L84" i="6"/>
  <c r="K7" i="6"/>
  <c r="L7" i="6" s="1"/>
  <c r="D27" i="1"/>
  <c r="D21" i="1"/>
  <c r="D16" i="1"/>
  <c r="E56" i="2"/>
  <c r="E50" i="2"/>
  <c r="E36" i="2"/>
  <c r="E25" i="2"/>
  <c r="H56" i="2"/>
  <c r="H50" i="2"/>
  <c r="H36" i="2"/>
  <c r="H25" i="2"/>
  <c r="L82" i="6"/>
  <c r="L21" i="6"/>
  <c r="L100" i="6"/>
  <c r="L99" i="6"/>
  <c r="L98" i="6"/>
  <c r="L97" i="6"/>
  <c r="L95" i="6"/>
  <c r="L94" i="6"/>
  <c r="L93" i="6"/>
  <c r="L92" i="6"/>
  <c r="L91" i="6"/>
  <c r="L90" i="6"/>
  <c r="L86" i="6"/>
  <c r="L81" i="6"/>
  <c r="L80" i="6"/>
  <c r="L79" i="6"/>
  <c r="L78" i="6"/>
  <c r="L77" i="6"/>
  <c r="L76" i="6"/>
  <c r="L75" i="6"/>
  <c r="L59" i="6"/>
  <c r="L58" i="6"/>
  <c r="L57" i="6"/>
  <c r="L56" i="6"/>
  <c r="L55" i="6"/>
  <c r="L53" i="6"/>
  <c r="L50" i="6"/>
  <c r="L49" i="6"/>
  <c r="L48" i="6"/>
  <c r="L47" i="6"/>
  <c r="L46" i="6"/>
  <c r="L45" i="6"/>
  <c r="F30" i="6"/>
  <c r="F40" i="6" s="1"/>
  <c r="F61" i="6" s="1"/>
  <c r="L29" i="6"/>
  <c r="L27" i="6"/>
  <c r="L25" i="6"/>
  <c r="L24" i="6"/>
  <c r="L18" i="6"/>
  <c r="L15" i="6"/>
  <c r="L10" i="6"/>
  <c r="L9" i="6"/>
  <c r="M49" i="5"/>
  <c r="H99" i="5"/>
  <c r="E99" i="5"/>
  <c r="H91" i="5"/>
  <c r="H92" i="5" s="1"/>
  <c r="E92" i="5"/>
  <c r="H86" i="5"/>
  <c r="E86" i="5"/>
  <c r="H81" i="5"/>
  <c r="D80" i="5"/>
  <c r="E81" i="5" s="1"/>
  <c r="K50" i="5"/>
  <c r="H50" i="5"/>
  <c r="E50" i="5"/>
  <c r="M48" i="5"/>
  <c r="K45" i="5"/>
  <c r="H45" i="5"/>
  <c r="D38" i="5"/>
  <c r="E45" i="5" s="1"/>
  <c r="M34" i="5"/>
  <c r="N45" i="5" s="1"/>
  <c r="K32" i="5"/>
  <c r="E32" i="5"/>
  <c r="M31" i="5"/>
  <c r="M27" i="5"/>
  <c r="M25" i="5"/>
  <c r="G25" i="5"/>
  <c r="H32" i="5" s="1"/>
  <c r="K21" i="5"/>
  <c r="E15" i="5"/>
  <c r="E21" i="5" s="1"/>
  <c r="N10" i="5"/>
  <c r="N6" i="5"/>
  <c r="J43" i="2"/>
  <c r="K18" i="2"/>
  <c r="F15" i="1"/>
  <c r="L11" i="4"/>
  <c r="H57" i="2" l="1"/>
  <c r="H59" i="2" s="1"/>
  <c r="I30" i="6"/>
  <c r="G30" i="6"/>
  <c r="K30" i="6"/>
  <c r="K40" i="6" s="1"/>
  <c r="K61" i="6" s="1"/>
  <c r="K72" i="6" s="1"/>
  <c r="K102" i="6" s="1"/>
  <c r="L14" i="6"/>
  <c r="L20" i="6"/>
  <c r="E57" i="2"/>
  <c r="E59" i="2" s="1"/>
  <c r="N50" i="5"/>
  <c r="D22" i="1"/>
  <c r="G40" i="6"/>
  <c r="G61" i="6" s="1"/>
  <c r="G72" i="6" s="1"/>
  <c r="G102" i="6" s="1"/>
  <c r="H40" i="6"/>
  <c r="H61" i="6" s="1"/>
  <c r="H72" i="6" s="1"/>
  <c r="H102" i="6" s="1"/>
  <c r="I40" i="6"/>
  <c r="I61" i="6" s="1"/>
  <c r="I72" i="6" s="1"/>
  <c r="I102" i="6" s="1"/>
  <c r="D36" i="1"/>
  <c r="E87" i="5"/>
  <c r="E100" i="5"/>
  <c r="H100" i="5"/>
  <c r="N32" i="5"/>
  <c r="N51" i="5" s="1"/>
  <c r="E51" i="5"/>
  <c r="N21" i="5"/>
  <c r="K51" i="5"/>
  <c r="K53" i="5" s="1"/>
  <c r="H51" i="5"/>
  <c r="H53" i="5" s="1"/>
  <c r="H64" i="5" s="1"/>
  <c r="H87" i="5"/>
  <c r="G35" i="1"/>
  <c r="L30" i="6" l="1"/>
  <c r="L40" i="6" s="1"/>
  <c r="L61" i="6" s="1"/>
  <c r="L72" i="6" s="1"/>
  <c r="L102" i="6" s="1"/>
  <c r="E53" i="5"/>
  <c r="N53" i="5"/>
  <c r="I89" i="4"/>
  <c r="I48" i="4"/>
  <c r="O99" i="4"/>
  <c r="N99" i="4"/>
  <c r="I18" i="4"/>
  <c r="L18" i="4"/>
  <c r="L92" i="4"/>
  <c r="I98" i="4"/>
  <c r="L98" i="4" s="1"/>
  <c r="I86" i="4"/>
  <c r="L86" i="4" s="1"/>
  <c r="I87" i="4"/>
  <c r="L87" i="4" s="1"/>
  <c r="I79" i="4"/>
  <c r="L79" i="4" s="1"/>
  <c r="I78" i="4"/>
  <c r="L78" i="4" s="1"/>
  <c r="I77" i="4"/>
  <c r="L77" i="4" s="1"/>
  <c r="I75" i="4"/>
  <c r="L75" i="4" s="1"/>
  <c r="L48" i="4"/>
  <c r="I46" i="4"/>
  <c r="L46" i="4" s="1"/>
  <c r="I45" i="4"/>
  <c r="L45" i="4" s="1"/>
  <c r="I16" i="4"/>
  <c r="L16" i="4" s="1"/>
  <c r="K8" i="4"/>
  <c r="K9" i="4"/>
  <c r="L9" i="4" s="1"/>
  <c r="K42" i="4"/>
  <c r="L42" i="4" s="1"/>
  <c r="L49" i="4"/>
  <c r="H14" i="4"/>
  <c r="L14" i="4" s="1"/>
  <c r="L100" i="4"/>
  <c r="L28" i="4"/>
  <c r="L26" i="4"/>
  <c r="L101" i="4"/>
  <c r="L99" i="4"/>
  <c r="L97" i="4"/>
  <c r="L96" i="4"/>
  <c r="L95" i="4"/>
  <c r="L94" i="4"/>
  <c r="L93" i="4"/>
  <c r="L91" i="4"/>
  <c r="L90" i="4"/>
  <c r="L89" i="4"/>
  <c r="L88" i="4"/>
  <c r="L85" i="4"/>
  <c r="L84" i="4"/>
  <c r="L83" i="4"/>
  <c r="L82" i="4"/>
  <c r="L81" i="4"/>
  <c r="L80" i="4"/>
  <c r="L76" i="4"/>
  <c r="L74" i="4"/>
  <c r="L73" i="4"/>
  <c r="L59" i="4"/>
  <c r="L58" i="4"/>
  <c r="L57" i="4"/>
  <c r="L56" i="4"/>
  <c r="L55" i="4"/>
  <c r="L54" i="4"/>
  <c r="L53" i="4"/>
  <c r="L52" i="4"/>
  <c r="L51" i="4"/>
  <c r="L50" i="4"/>
  <c r="L47" i="4"/>
  <c r="L44" i="4"/>
  <c r="L43" i="4"/>
  <c r="L7" i="4"/>
  <c r="L6" i="4"/>
  <c r="L29" i="4"/>
  <c r="L27" i="4"/>
  <c r="L25" i="4"/>
  <c r="L24" i="4"/>
  <c r="L23" i="4"/>
  <c r="L22" i="4"/>
  <c r="L21" i="4"/>
  <c r="L19" i="4"/>
  <c r="L17" i="4"/>
  <c r="L15" i="4"/>
  <c r="L13" i="4"/>
  <c r="L12" i="4"/>
  <c r="L10" i="4"/>
  <c r="L8" i="4"/>
  <c r="K36" i="2" l="1"/>
  <c r="K50" i="2"/>
  <c r="K56" i="2"/>
  <c r="K25" i="2"/>
  <c r="G27" i="1"/>
  <c r="G16" i="1"/>
  <c r="G21" i="1"/>
  <c r="F20" i="4"/>
  <c r="L20" i="4" s="1"/>
  <c r="F102" i="4"/>
  <c r="O30" i="4"/>
  <c r="O40" i="4" s="1"/>
  <c r="O61" i="4" s="1"/>
  <c r="O72" i="4" s="1"/>
  <c r="O102" i="4" s="1"/>
  <c r="K30" i="4"/>
  <c r="K40" i="4" s="1"/>
  <c r="K61" i="4" s="1"/>
  <c r="K72" i="4" s="1"/>
  <c r="K102" i="4" s="1"/>
  <c r="I30" i="4"/>
  <c r="I40" i="4" s="1"/>
  <c r="I61" i="4" s="1"/>
  <c r="I72" i="4" s="1"/>
  <c r="I102" i="4" s="1"/>
  <c r="G30" i="4"/>
  <c r="G40" i="4" s="1"/>
  <c r="G61" i="4" s="1"/>
  <c r="G72" i="4" s="1"/>
  <c r="G102" i="4" s="1"/>
  <c r="H30" i="4"/>
  <c r="H40" i="4" s="1"/>
  <c r="H61" i="4" s="1"/>
  <c r="H72" i="4" s="1"/>
  <c r="H102" i="4" s="1"/>
  <c r="K57" i="2" l="1"/>
  <c r="K59" i="2" s="1"/>
  <c r="F30" i="4"/>
  <c r="F40" i="4" s="1"/>
  <c r="F61" i="4" s="1"/>
  <c r="G36" i="1"/>
  <c r="G22" i="1"/>
  <c r="L30" i="4"/>
  <c r="L40" i="4" s="1"/>
  <c r="L61" i="4" s="1"/>
  <c r="L72" i="4" s="1"/>
  <c r="L102" i="4" s="1"/>
  <c r="K27" i="3" l="1"/>
  <c r="K37" i="3" s="1"/>
  <c r="I27" i="3"/>
  <c r="I37" i="3" s="1"/>
  <c r="G27" i="3"/>
  <c r="G37" i="3" s="1"/>
  <c r="G59" i="3" s="1"/>
  <c r="G70" i="3" s="1"/>
  <c r="G99" i="3" s="1"/>
  <c r="F27" i="3"/>
  <c r="F37" i="3" s="1"/>
  <c r="F59" i="3" s="1"/>
  <c r="F99" i="3"/>
  <c r="K75" i="3"/>
  <c r="L82" i="3"/>
  <c r="L89" i="3"/>
  <c r="L88" i="3"/>
  <c r="L50" i="3"/>
  <c r="L47" i="3"/>
  <c r="K57" i="3"/>
  <c r="H16" i="3"/>
  <c r="K59" i="3" l="1"/>
  <c r="K70" i="3" s="1"/>
  <c r="K99" i="3" s="1"/>
  <c r="I75" i="3"/>
  <c r="L75" i="3" s="1"/>
  <c r="I76" i="3"/>
  <c r="L76" i="3" s="1"/>
  <c r="L52" i="3"/>
  <c r="I53" i="3"/>
  <c r="L53" i="3" s="1"/>
  <c r="L45" i="3"/>
  <c r="L51" i="3"/>
  <c r="L49" i="3"/>
  <c r="L48" i="3"/>
  <c r="L74" i="3"/>
  <c r="I55" i="3"/>
  <c r="L55" i="3" s="1"/>
  <c r="I40" i="3"/>
  <c r="L40" i="3" s="1"/>
  <c r="L14" i="3"/>
  <c r="H98" i="3"/>
  <c r="L98" i="3" s="1"/>
  <c r="L24" i="3"/>
  <c r="H12" i="3"/>
  <c r="L85" i="3"/>
  <c r="L41" i="3"/>
  <c r="L97" i="3"/>
  <c r="L96" i="3"/>
  <c r="L95" i="3"/>
  <c r="L94" i="3"/>
  <c r="L93" i="3"/>
  <c r="L92" i="3"/>
  <c r="L91" i="3"/>
  <c r="L90" i="3"/>
  <c r="L87" i="3"/>
  <c r="L86" i="3"/>
  <c r="L84" i="3"/>
  <c r="L83" i="3"/>
  <c r="L81" i="3"/>
  <c r="L80" i="3"/>
  <c r="L79" i="3"/>
  <c r="L78" i="3"/>
  <c r="L77" i="3"/>
  <c r="L73" i="3"/>
  <c r="L72" i="3"/>
  <c r="L71" i="3"/>
  <c r="L57" i="3"/>
  <c r="L56" i="3"/>
  <c r="L54" i="3"/>
  <c r="L46" i="3"/>
  <c r="L44" i="3"/>
  <c r="L43" i="3"/>
  <c r="L42" i="3"/>
  <c r="L39" i="3"/>
  <c r="N27" i="3"/>
  <c r="N37" i="3" s="1"/>
  <c r="N59" i="3" s="1"/>
  <c r="N70" i="3" s="1"/>
  <c r="N99" i="3" s="1"/>
  <c r="L26" i="3"/>
  <c r="L25" i="3"/>
  <c r="L23" i="3"/>
  <c r="L22" i="3"/>
  <c r="L21" i="3"/>
  <c r="L20" i="3"/>
  <c r="L19" i="3"/>
  <c r="L18" i="3"/>
  <c r="L17" i="3"/>
  <c r="L16" i="3"/>
  <c r="L15" i="3"/>
  <c r="L13" i="3"/>
  <c r="L11" i="3"/>
  <c r="L10" i="3"/>
  <c r="L9" i="3"/>
  <c r="L8" i="3"/>
  <c r="L12" i="3" l="1"/>
  <c r="H27" i="3"/>
  <c r="H37" i="3" s="1"/>
  <c r="H59" i="3" s="1"/>
  <c r="H70" i="3" s="1"/>
  <c r="H99" i="3" s="1"/>
  <c r="I59" i="3"/>
  <c r="I70" i="3" s="1"/>
  <c r="I99" i="3" s="1"/>
  <c r="L27" i="3" l="1"/>
  <c r="L37" i="3" s="1"/>
  <c r="L59" i="3" s="1"/>
  <c r="L70" i="3" s="1"/>
  <c r="L99" i="3" s="1"/>
  <c r="F58" i="10"/>
  <c r="F69" i="10" s="1"/>
  <c r="F103" i="10" s="1"/>
</calcChain>
</file>

<file path=xl/sharedStrings.xml><?xml version="1.0" encoding="utf-8"?>
<sst xmlns="http://schemas.openxmlformats.org/spreadsheetml/2006/main" count="2225" uniqueCount="303">
  <si>
    <t>Historische Kring Eemnes</t>
  </si>
  <si>
    <t>Balans</t>
  </si>
  <si>
    <t>Activa</t>
  </si>
  <si>
    <t>Vorderingen</t>
  </si>
  <si>
    <t>Overige vorderingen</t>
  </si>
  <si>
    <t>Liquide middelen</t>
  </si>
  <si>
    <t>ING bank</t>
  </si>
  <si>
    <t>Rabobank</t>
  </si>
  <si>
    <t>Kas Oudheidskamer</t>
  </si>
  <si>
    <t xml:space="preserve">€ </t>
  </si>
  <si>
    <t>€</t>
  </si>
  <si>
    <t>PM</t>
  </si>
  <si>
    <t>Bezittingen</t>
  </si>
  <si>
    <t>Gebouw, inventaris en erfgoedcollectie</t>
  </si>
  <si>
    <t>Passiva</t>
  </si>
  <si>
    <t>Eigen Vermogen</t>
  </si>
  <si>
    <t>Beginsaldo</t>
  </si>
  <si>
    <t>Saldo staat van baten en lasten</t>
  </si>
  <si>
    <t>Kortlopende schulden</t>
  </si>
  <si>
    <t>Portikosten</t>
  </si>
  <si>
    <t>Vlaggen</t>
  </si>
  <si>
    <t>Vooruitbetaalde posten;</t>
  </si>
  <si>
    <t>Vooruitontvangen posten;</t>
  </si>
  <si>
    <t>Subsidie OMD</t>
  </si>
  <si>
    <t>Contributies</t>
  </si>
  <si>
    <t>Rabo clubkasactie</t>
  </si>
  <si>
    <t>Staat van baten en lasten</t>
  </si>
  <si>
    <t>Baten</t>
  </si>
  <si>
    <t>Contributie leden</t>
  </si>
  <si>
    <t>Verkopen</t>
  </si>
  <si>
    <t>Advertenties</t>
  </si>
  <si>
    <t>Sponsoren</t>
  </si>
  <si>
    <t>Collecten</t>
  </si>
  <si>
    <t>Donaties</t>
  </si>
  <si>
    <t>Koningsdag</t>
  </si>
  <si>
    <t>Klokkenluidersgilde</t>
  </si>
  <si>
    <t>Open Monumentendag</t>
  </si>
  <si>
    <t>Wandelvierdaagse</t>
  </si>
  <si>
    <t>Rente</t>
  </si>
  <si>
    <t>werkelijk</t>
  </si>
  <si>
    <t>Begroting</t>
  </si>
  <si>
    <t>Lasten</t>
  </si>
  <si>
    <t>Kosten Oudheidkamer</t>
  </si>
  <si>
    <t>Energie en water</t>
  </si>
  <si>
    <t>Onderhoudskosten</t>
  </si>
  <si>
    <t>Zakelijke belastingen</t>
  </si>
  <si>
    <t>Telefoon/internet</t>
  </si>
  <si>
    <t>Verzekeringen</t>
  </si>
  <si>
    <t>Kleine aanschaffingen</t>
  </si>
  <si>
    <t>Totale Baten</t>
  </si>
  <si>
    <t>Kosten Vereniging</t>
  </si>
  <si>
    <t>Kwartaalblad</t>
  </si>
  <si>
    <t>Tentoonstellingen</t>
  </si>
  <si>
    <t>Bijeenkomsten/lezingen</t>
  </si>
  <si>
    <t>Werkgroepen</t>
  </si>
  <si>
    <t>Kosten Bestuur</t>
  </si>
  <si>
    <t>Kantoorbenodigingen</t>
  </si>
  <si>
    <t>Bestuurskosten</t>
  </si>
  <si>
    <t>Attenties</t>
  </si>
  <si>
    <t>Bankkosten</t>
  </si>
  <si>
    <t>Totale lasten</t>
  </si>
  <si>
    <t>Saldo baten en lasten</t>
  </si>
  <si>
    <t>saldi balans</t>
  </si>
  <si>
    <t>eindbalans</t>
  </si>
  <si>
    <t xml:space="preserve"> </t>
  </si>
  <si>
    <t>pm</t>
  </si>
  <si>
    <t>correcties</t>
  </si>
  <si>
    <t>mut kas</t>
  </si>
  <si>
    <t>x</t>
  </si>
  <si>
    <t>erkopen OHK</t>
  </si>
  <si>
    <t>Provisie verkoop boek dikke torentje</t>
  </si>
  <si>
    <t>verkoop boek Dikke torentje voor derden</t>
  </si>
  <si>
    <t>Contributies 2019</t>
  </si>
  <si>
    <t>Contributies 2018</t>
  </si>
  <si>
    <t>kruispost liq middelen</t>
  </si>
  <si>
    <t>mut ING</t>
  </si>
  <si>
    <t>mut Rabo</t>
  </si>
  <si>
    <t>rabobank betaal</t>
  </si>
  <si>
    <t>A</t>
  </si>
  <si>
    <t>C</t>
  </si>
  <si>
    <t>Retour energiebelasting</t>
  </si>
  <si>
    <t>Collecten Prins Bernard Cultuur fonds</t>
  </si>
  <si>
    <t>Subsidie gemeente Eemnes Vlag</t>
  </si>
  <si>
    <t>Collecten Melkbus en overige</t>
  </si>
  <si>
    <t>Vrienden van de OHK</t>
  </si>
  <si>
    <t>verkoop Eemnessser vlag</t>
  </si>
  <si>
    <t>kosten vlag</t>
  </si>
  <si>
    <t>herdruk Eemnes Waar ik woon</t>
  </si>
  <si>
    <t>dia scanner</t>
  </si>
  <si>
    <t>vertering en huishoudelijke kosten</t>
  </si>
  <si>
    <t>B</t>
  </si>
  <si>
    <t>D</t>
  </si>
  <si>
    <t>E</t>
  </si>
  <si>
    <t>F</t>
  </si>
  <si>
    <t>( 2018 led verlichting 19)</t>
  </si>
  <si>
    <t>G</t>
  </si>
  <si>
    <t>H</t>
  </si>
  <si>
    <t>Subsidie gemeente Eemnes info bord begraafplaats</t>
  </si>
  <si>
    <t>Subsidie gemeente Eemnes Boek waar Ik woon</t>
  </si>
  <si>
    <t>Rabo Clubkas bijdrage Boek Waar Ik woon</t>
  </si>
  <si>
    <t>Overige vorderingen, klokkenluiders</t>
  </si>
  <si>
    <t>Info bord begraafplaats</t>
  </si>
  <si>
    <t>aanschaf PC</t>
  </si>
  <si>
    <t>Vertering, huishoudelijke-</t>
  </si>
  <si>
    <t>en onderhoudskosten</t>
  </si>
  <si>
    <t>Infobord begraafplaats</t>
  </si>
  <si>
    <t>transporteren</t>
  </si>
  <si>
    <t>transport</t>
  </si>
  <si>
    <t>tranporteren</t>
  </si>
  <si>
    <t>vordering op Tetteroo</t>
  </si>
  <si>
    <t>i</t>
  </si>
  <si>
    <t>advertentie-inkomsten 2019</t>
  </si>
  <si>
    <t>Contributie 2020</t>
  </si>
  <si>
    <t>Rabo clubkasactie 2019 (tbv Jubileum boek)</t>
  </si>
  <si>
    <t>Kas tekort</t>
  </si>
  <si>
    <t>Gift Wereldwinkel</t>
  </si>
  <si>
    <t>accoord</t>
  </si>
  <si>
    <t>vastlegg</t>
  </si>
  <si>
    <t>Subsidie Open Monumentendag 2020/21/22</t>
  </si>
  <si>
    <t>Collecten Melkbus en overige giften/fooien</t>
  </si>
  <si>
    <t>kosten 40jarig jubileum</t>
  </si>
  <si>
    <t>Bestuurskosten en attenties</t>
  </si>
  <si>
    <t>Contributie leden en portibijdrage</t>
  </si>
  <si>
    <t>Overige schulden</t>
  </si>
  <si>
    <t xml:space="preserve">Subsidies Gemeente Eemnes </t>
  </si>
  <si>
    <t>Giften en vrienden (1)</t>
  </si>
  <si>
    <t>Incl Gift Wereldwinkel</t>
  </si>
  <si>
    <t>Eemnesser Vlag</t>
  </si>
  <si>
    <t>40 jarig jubileum</t>
  </si>
  <si>
    <t>inkoop vlaggen</t>
  </si>
  <si>
    <t>Vergoed via Raboclubkas,  jub boek</t>
  </si>
  <si>
    <t>Uitgave jubileumboek (4)</t>
  </si>
  <si>
    <t>Retour energie belasting 2018/19</t>
  </si>
  <si>
    <t>Aanschaffingen(3)</t>
  </si>
  <si>
    <t>31 dec</t>
  </si>
  <si>
    <t>Herdruk Eemnes,waar ik Woon</t>
  </si>
  <si>
    <t>Vergoed via Raboclubkas,Led verlichting</t>
  </si>
  <si>
    <t>resultaat vorig boekjaar</t>
  </si>
  <si>
    <t>Contributie 2021</t>
  </si>
  <si>
    <t>Led verlichting</t>
  </si>
  <si>
    <t>nog te ontvangen Sponsoren</t>
  </si>
  <si>
    <t>verkoop boek vrijheid</t>
  </si>
  <si>
    <t>Anjer collecte</t>
  </si>
  <si>
    <t>Raboclubkas campagne 2020</t>
  </si>
  <si>
    <t>Raboclubkas campagne voorg jaren</t>
  </si>
  <si>
    <t xml:space="preserve">Bankkosten </t>
  </si>
  <si>
    <t>Jubileumboek</t>
  </si>
  <si>
    <t>anjeractie</t>
  </si>
  <si>
    <t>reparatie deuren</t>
  </si>
  <si>
    <t>reservering nieuwe CV</t>
  </si>
  <si>
    <t>Ledverlichting</t>
  </si>
  <si>
    <t>Anjercollecte</t>
  </si>
  <si>
    <t>Raboclubkas campagne boekjaar</t>
  </si>
  <si>
    <t>Collecten en overige giften</t>
  </si>
  <si>
    <t>subsidie Gemeente eemnes Bevrijdingstentoonstelling</t>
  </si>
  <si>
    <t>Namenboek</t>
  </si>
  <si>
    <t>vervanging deuren</t>
  </si>
  <si>
    <t>bezorgvergoeding vlaggen</t>
  </si>
  <si>
    <t>Rabo clubkas 2020</t>
  </si>
  <si>
    <t>ledenwerving</t>
  </si>
  <si>
    <t>Eemnesser Vlag en bezorgbijdrage</t>
  </si>
  <si>
    <t>Ledenwerving</t>
  </si>
  <si>
    <t>Aanbetaling namenboek</t>
  </si>
  <si>
    <t>Aanschaffingen</t>
  </si>
  <si>
    <t>Vlaggen (115* 10 euro)</t>
  </si>
  <si>
    <t>Nog te ontvangen sponsorbijdrage</t>
  </si>
  <si>
    <t>Digitaliseren flims/video</t>
  </si>
  <si>
    <t>Namenboek (50 gemeente en 250 * 12,50)</t>
  </si>
  <si>
    <t>Schilderwerk</t>
  </si>
  <si>
    <t>aanpassing automatisering</t>
  </si>
  <si>
    <t xml:space="preserve">Giften en vrienden </t>
  </si>
  <si>
    <t>Subsidies Gemeente Eemnes (vrijheidstentoonst.)</t>
  </si>
  <si>
    <t>Subsidies Gemeente Eemnes</t>
  </si>
  <si>
    <t>geschatte voorraad 31 dec 2021, 300 boeken ad inkoopwaarde  10,00 geeft</t>
  </si>
  <si>
    <t>kosten boek Namenboek (minus voorraad)</t>
  </si>
  <si>
    <t>31-12-2020</t>
  </si>
  <si>
    <t>31-12-2019</t>
  </si>
  <si>
    <t>31-12-2021</t>
  </si>
  <si>
    <t>Kleine Vlaggen</t>
  </si>
  <si>
    <t>90*10</t>
  </si>
  <si>
    <t>Beeld bank</t>
  </si>
  <si>
    <t>Contributie 2022</t>
  </si>
  <si>
    <t>245*10</t>
  </si>
  <si>
    <t>7+8</t>
  </si>
  <si>
    <t>kosten boek Namenboek</t>
  </si>
  <si>
    <t>Rabo clubkasactie 2021 ( beeld bank)</t>
  </si>
  <si>
    <t>namenboek</t>
  </si>
  <si>
    <t xml:space="preserve">subsidie Gemeente Eemnes, namanboek </t>
  </si>
  <si>
    <t>Rabo clubkas</t>
  </si>
  <si>
    <t>2+9</t>
  </si>
  <si>
    <t>50* 2.50</t>
  </si>
  <si>
    <t>Schenking NN</t>
  </si>
  <si>
    <t>Vooruitontvangen Rabo club actiegelden</t>
  </si>
  <si>
    <t>Schenkingen en legaten</t>
  </si>
  <si>
    <t>Gift Rondleiding</t>
  </si>
  <si>
    <t>schilderwerk en aanpassing deuren</t>
  </si>
  <si>
    <t>NAS automatisering cloud backup</t>
  </si>
  <si>
    <t>Werkgroepen (incl digitalisering films etc)</t>
  </si>
  <si>
    <t>Digitalisering</t>
  </si>
  <si>
    <t>Vrienden</t>
  </si>
  <si>
    <t>verkoop opbrengst Namenboek</t>
  </si>
  <si>
    <t>Eemnesser Vlag en bezorgbijdragen</t>
  </si>
  <si>
    <t>31-12-2022</t>
  </si>
  <si>
    <t xml:space="preserve">  </t>
  </si>
  <si>
    <t>a</t>
  </si>
  <si>
    <t xml:space="preserve">x </t>
  </si>
  <si>
    <t>Computer</t>
  </si>
  <si>
    <t>b</t>
  </si>
  <si>
    <t>79*5 ( 2021 nog 90*10)</t>
  </si>
  <si>
    <t>c</t>
  </si>
  <si>
    <t>kosten vlag ( en afwaardering naar 5 euro)</t>
  </si>
  <si>
    <t>contributie 2023</t>
  </si>
  <si>
    <t>d</t>
  </si>
  <si>
    <t>a+d</t>
  </si>
  <si>
    <t>200*5 (2021 nog 245*10)</t>
  </si>
  <si>
    <t>Namenboek (en afwaardering naar  5 euro)</t>
  </si>
  <si>
    <t>Sponsor 2023</t>
  </si>
  <si>
    <t>e</t>
  </si>
  <si>
    <t>Extra donaties via contibutie leden</t>
  </si>
  <si>
    <t>Enegietoeslag</t>
  </si>
  <si>
    <t>Pinapparaat</t>
  </si>
  <si>
    <t>Porti  en verzendkosten</t>
  </si>
  <si>
    <t>Walkitalkies</t>
  </si>
  <si>
    <t>Beach vlaggen</t>
  </si>
  <si>
    <t>Beamer</t>
  </si>
  <si>
    <t>40*2,50( 2021 nog 50* 2.50)</t>
  </si>
  <si>
    <t>Sponsor</t>
  </si>
  <si>
    <t xml:space="preserve">Contributie leden </t>
  </si>
  <si>
    <t>Beachvlaggen</t>
  </si>
  <si>
    <t>Walkitalkis</t>
  </si>
  <si>
    <t xml:space="preserve">Rabo clubkasactie 2022 </t>
  </si>
  <si>
    <t>Kosten vlaggen</t>
  </si>
  <si>
    <t>31-12-2023</t>
  </si>
  <si>
    <t>Contributie 2024</t>
  </si>
  <si>
    <t>Sponsor 2024</t>
  </si>
  <si>
    <t>Rabo clubkasactie 2023</t>
  </si>
  <si>
    <t>Toren klimmen</t>
  </si>
  <si>
    <t>2023  45*5 (2022 nog 79*5)</t>
  </si>
  <si>
    <t>2023 33*2.50 (2022 nog 40*2,50)</t>
  </si>
  <si>
    <t>d+e</t>
  </si>
  <si>
    <t>CV ketel</t>
  </si>
  <si>
    <t>2023  191 a 2.50(2022 nog 200*5)</t>
  </si>
  <si>
    <t>Namenboek (en afwaardering naar  2.50 euro)</t>
  </si>
  <si>
    <t xml:space="preserve">kosten vlag </t>
  </si>
  <si>
    <t>Computer en harde schijf</t>
  </si>
  <si>
    <t>f</t>
  </si>
  <si>
    <t>voorraad enveloppen</t>
  </si>
  <si>
    <t>Enveloppen</t>
  </si>
  <si>
    <t>CV Ketel</t>
  </si>
  <si>
    <t>Namen boek afgewaardeerd ivm ten vallende omzet</t>
  </si>
  <si>
    <t>Enveloppen net eind december aangeschaft naar balans</t>
  </si>
  <si>
    <t xml:space="preserve">75 % van de contributie inkomsten  worden besteed aan </t>
  </si>
  <si>
    <t>Flink hogere inkomsten van Klokkenluidersgilde</t>
  </si>
  <si>
    <t>Geen subsidie Gemeente Eemnes</t>
  </si>
  <si>
    <t>Flink lagere energie lasten dan verwacht</t>
  </si>
  <si>
    <t xml:space="preserve">Nog geen teruggave energiebelasting gevraagd ? ANBI dus 50% van </t>
  </si>
  <si>
    <t>energiebelasting kan worden terug gevraagd</t>
  </si>
  <si>
    <t>Kosten harde schijf  bij de investering Computer opgeteld</t>
  </si>
  <si>
    <t>Wellicht 40. 000 op een depositorekening zetten , hogere rente inkomsten</t>
  </si>
  <si>
    <t>volgens mij liquide middelen op korte termijn niet nodig</t>
  </si>
  <si>
    <t>van 5 naar 2,50  extra last 2023  477</t>
  </si>
  <si>
    <t>als voor geschotten kosten. Bate voor 2023  400</t>
  </si>
  <si>
    <t>Eenmalige schenking NN ad 1000 , anders verlies groter</t>
  </si>
  <si>
    <t>het kwartaalblad maar ik begreep maar een verhoging  14 euro naar 15 euro</t>
  </si>
  <si>
    <t xml:space="preserve">Geen bijdrage meer voor Open monumenten dag ? </t>
  </si>
  <si>
    <t>Cijfers begroting  2024 op aantal plaatsen bijgesteld</t>
  </si>
  <si>
    <t>31-12-2024</t>
  </si>
  <si>
    <t>2024 26*5(2023  45*5)</t>
  </si>
  <si>
    <t>2024 17* 2,50(2023 33*2.50)</t>
  </si>
  <si>
    <t>2024 160*1.00(2023  191 a 2.50)</t>
  </si>
  <si>
    <t>afgewaardeerd naar 1 ipv 2,50</t>
  </si>
  <si>
    <t>Namenboek (en afwaardering naar in 2024 naar 1)</t>
  </si>
  <si>
    <t xml:space="preserve">Rabobank spaar </t>
  </si>
  <si>
    <t>Rabo tijdslot sparen</t>
  </si>
  <si>
    <t>Rabobank betaal</t>
  </si>
  <si>
    <t>contributie 2025</t>
  </si>
  <si>
    <t>Rabo clubkasactie 2024</t>
  </si>
  <si>
    <t xml:space="preserve">Computer </t>
  </si>
  <si>
    <t>Subsidie Gemeente 2023 en 204</t>
  </si>
  <si>
    <t>aankoop schilderij  Eemnes</t>
  </si>
  <si>
    <t>rente tgv exploitatie 2025</t>
  </si>
  <si>
    <t>Rabobank, spaarbanken</t>
  </si>
  <si>
    <t>Rabo betaalrekening</t>
  </si>
  <si>
    <t>Vooruitbetaalde posten</t>
  </si>
  <si>
    <t>subsidie gemeente ontv in 2024 is subsidie 2023 en 2024</t>
  </si>
  <si>
    <t>rente ontvangen in 2025  over 2024 tgv exploitatie 2025 gebracht</t>
  </si>
  <si>
    <t>Electra kosten minder gestegen als geprognotiseerd in 2024</t>
  </si>
  <si>
    <t>incl afwaardering voorraad van 2,50 per boek naar 1,00 per boek</t>
  </si>
  <si>
    <t>Nog geen investeringen in 2025 opgenomen</t>
  </si>
  <si>
    <t>schilderij aankoop als investering wellicht ook op te nemen als kosten werkgroep</t>
  </si>
  <si>
    <t>nog niet voorzien</t>
  </si>
  <si>
    <t>31-12-2025</t>
  </si>
  <si>
    <t>subsidie Kleksi</t>
  </si>
  <si>
    <t>voorraad 31/12/25 op nul gewaardeed</t>
  </si>
  <si>
    <t>Rabo clubkasactie 2025</t>
  </si>
  <si>
    <t>Subsidie Gemeente</t>
  </si>
  <si>
    <t>Daklood</t>
  </si>
  <si>
    <t>Database Kleski</t>
  </si>
  <si>
    <t>Loopplank</t>
  </si>
  <si>
    <t>dakgoten</t>
  </si>
  <si>
    <t>loopplank</t>
  </si>
  <si>
    <t>Kwartaalblad en verzendkosten</t>
  </si>
  <si>
    <t>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</si>
</sst>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0" borderId="1" xfId="0" applyNumberFormat="1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4" fontId="0" fillId="0" borderId="0" xfId="0" applyNumberFormat="1"/>
    <xf numFmtId="4" fontId="0" fillId="2" borderId="2" xfId="0" applyNumberFormat="1" applyFill="1" applyBorder="1"/>
    <xf numFmtId="4" fontId="0" fillId="3" borderId="0" xfId="0" applyNumberFormat="1" applyFill="1"/>
    <xf numFmtId="0" fontId="0" fillId="3" borderId="0" xfId="0" applyFill="1"/>
    <xf numFmtId="4" fontId="0" fillId="0" borderId="2" xfId="0" applyNumberFormat="1" applyBorder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2" fillId="2" borderId="0" xfId="0" applyFont="1" applyFill="1"/>
    <xf numFmtId="4" fontId="0" fillId="0" borderId="1" xfId="0" applyNumberFormat="1" applyBorder="1"/>
    <xf numFmtId="4" fontId="0" fillId="3" borderId="1" xfId="0" applyNumberFormat="1" applyFill="1" applyBorder="1"/>
    <xf numFmtId="1" fontId="0" fillId="0" borderId="0" xfId="0" applyNumberFormat="1"/>
    <xf numFmtId="1" fontId="0" fillId="0" borderId="1" xfId="0" applyNumberFormat="1" applyBorder="1"/>
    <xf numFmtId="1" fontId="0" fillId="0" borderId="0" xfId="0" applyNumberFormat="1" applyAlignment="1">
      <alignment horizontal="right"/>
    </xf>
    <xf numFmtId="1" fontId="0" fillId="0" borderId="2" xfId="0" applyNumberForma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3" fillId="0" borderId="0" xfId="0" applyNumberFormat="1" applyFont="1"/>
    <xf numFmtId="3" fontId="0" fillId="0" borderId="1" xfId="0" applyNumberFormat="1" applyBorder="1"/>
    <xf numFmtId="3" fontId="1" fillId="0" borderId="0" xfId="0" applyNumberFormat="1" applyFont="1"/>
    <xf numFmtId="3" fontId="0" fillId="0" borderId="2" xfId="0" applyNumberFormat="1" applyBorder="1"/>
    <xf numFmtId="3" fontId="3" fillId="0" borderId="1" xfId="0" applyNumberFormat="1" applyFont="1" applyBorder="1"/>
    <xf numFmtId="3" fontId="0" fillId="2" borderId="0" xfId="0" applyNumberFormat="1" applyFill="1"/>
    <xf numFmtId="3" fontId="0" fillId="2" borderId="1" xfId="0" applyNumberFormat="1" applyFill="1" applyBorder="1"/>
    <xf numFmtId="3" fontId="0" fillId="2" borderId="3" xfId="0" applyNumberFormat="1" applyFill="1" applyBorder="1"/>
    <xf numFmtId="3" fontId="0" fillId="0" borderId="3" xfId="0" applyNumberFormat="1" applyBorder="1"/>
    <xf numFmtId="3" fontId="0" fillId="2" borderId="4" xfId="0" applyNumberFormat="1" applyFill="1" applyBorder="1"/>
    <xf numFmtId="3" fontId="0" fillId="0" borderId="4" xfId="0" applyNumberFormat="1" applyBorder="1"/>
    <xf numFmtId="14" fontId="0" fillId="0" borderId="1" xfId="0" quotePrefix="1" applyNumberFormat="1" applyBorder="1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3" fontId="0" fillId="2" borderId="2" xfId="0" applyNumberFormat="1" applyFill="1" applyBorder="1"/>
    <xf numFmtId="0" fontId="0" fillId="4" borderId="0" xfId="0" applyFill="1"/>
    <xf numFmtId="0" fontId="1" fillId="4" borderId="0" xfId="0" applyFont="1" applyFill="1"/>
    <xf numFmtId="0" fontId="7" fillId="5" borderId="0" xfId="0" applyFont="1" applyFill="1"/>
    <xf numFmtId="0" fontId="0" fillId="5" borderId="0" xfId="0" applyFill="1"/>
    <xf numFmtId="3" fontId="0" fillId="5" borderId="0" xfId="0" applyNumberFormat="1" applyFill="1"/>
    <xf numFmtId="3" fontId="0" fillId="5" borderId="2" xfId="0" applyNumberFormat="1" applyFill="1" applyBorder="1"/>
    <xf numFmtId="3" fontId="0" fillId="4" borderId="0" xfId="0" applyNumberFormat="1" applyFill="1"/>
    <xf numFmtId="15" fontId="0" fillId="0" borderId="1" xfId="0" quotePrefix="1" applyNumberFormat="1" applyBorder="1"/>
    <xf numFmtId="3" fontId="0" fillId="4" borderId="4" xfId="0" applyNumberFormat="1" applyFill="1" applyBorder="1"/>
    <xf numFmtId="3" fontId="0" fillId="5" borderId="1" xfId="0" applyNumberFormat="1" applyFill="1" applyBorder="1"/>
    <xf numFmtId="0" fontId="0" fillId="2" borderId="2" xfId="0" applyFill="1" applyBorder="1"/>
    <xf numFmtId="0" fontId="7" fillId="0" borderId="0" xfId="0" applyFont="1"/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1" xfId="0" applyNumberFormat="1" applyFill="1" applyBorder="1" applyAlignment="1">
      <alignment horizontal="center"/>
    </xf>
    <xf numFmtId="2" fontId="0" fillId="0" borderId="0" xfId="0" applyNumberFormat="1"/>
    <xf numFmtId="2" fontId="0" fillId="0" borderId="2" xfId="0" applyNumberFormat="1" applyBorder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5" borderId="2" xfId="0" applyFill="1" applyBorder="1"/>
    <xf numFmtId="3" fontId="0" fillId="5" borderId="4" xfId="0" applyNumberFormat="1" applyFill="1" applyBorder="1"/>
    <xf numFmtId="4" fontId="0" fillId="2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C8B3-D922-4D5B-B17C-530F91D63629}">
  <sheetPr>
    <pageSetUpPr fitToPage="1"/>
  </sheetPr>
  <dimension ref="A1:V57"/>
  <sheetViews>
    <sheetView workbookViewId="0">
      <selection sqref="A1:P56"/>
    </sheetView>
  </sheetViews>
  <sheetFormatPr defaultRowHeight="15" x14ac:dyDescent="0.25"/>
  <cols>
    <col min="1" max="1" width="2" customWidth="1"/>
    <col min="3" max="3" width="22" customWidth="1"/>
    <col min="4" max="6" width="9.28515625" customWidth="1"/>
    <col min="7" max="7" width="5.28515625" customWidth="1"/>
    <col min="8" max="9" width="9.28515625" customWidth="1"/>
    <col min="10" max="10" width="1.7109375" customWidth="1"/>
    <col min="11" max="11" width="9.5703125" customWidth="1"/>
    <col min="12" max="12" width="9.7109375" customWidth="1"/>
    <col min="13" max="13" width="1.42578125" customWidth="1"/>
    <col min="14" max="14" width="14.42578125" customWidth="1"/>
    <col min="15" max="15" width="10.28515625" customWidth="1"/>
    <col min="16" max="16" width="2.140625" customWidth="1"/>
    <col min="19" max="19" width="13" customWidth="1"/>
    <col min="21" max="21" width="11.42578125" customWidth="1"/>
  </cols>
  <sheetData>
    <row r="1" spans="1:21" ht="21" x14ac:dyDescent="0.35">
      <c r="A1" s="7" t="s">
        <v>0</v>
      </c>
    </row>
    <row r="3" spans="1:21" ht="18.75" x14ac:dyDescent="0.3">
      <c r="A3" s="3" t="s">
        <v>26</v>
      </c>
      <c r="B3" s="3"/>
      <c r="C3" s="3"/>
      <c r="D3" s="3"/>
      <c r="E3" s="2" t="s">
        <v>40</v>
      </c>
      <c r="F3" s="2"/>
      <c r="G3" s="2"/>
      <c r="H3" s="2" t="s">
        <v>39</v>
      </c>
      <c r="I3" s="3"/>
      <c r="J3" s="3"/>
      <c r="K3" s="2" t="s">
        <v>40</v>
      </c>
      <c r="L3" s="2"/>
      <c r="M3" s="2"/>
      <c r="N3" s="2" t="s">
        <v>39</v>
      </c>
      <c r="O3" s="3"/>
      <c r="P3" s="3"/>
    </row>
    <row r="4" spans="1:21" x14ac:dyDescent="0.25">
      <c r="E4" s="5"/>
      <c r="F4" s="5">
        <v>2026</v>
      </c>
      <c r="H4" s="5"/>
      <c r="I4" s="5">
        <v>2025</v>
      </c>
      <c r="K4" s="5"/>
      <c r="L4" s="5">
        <v>2025</v>
      </c>
      <c r="N4" s="5"/>
      <c r="O4" s="5">
        <v>2024</v>
      </c>
      <c r="Q4" s="11"/>
      <c r="R4" s="11"/>
      <c r="S4" s="21"/>
      <c r="T4" s="11"/>
      <c r="U4" s="11"/>
    </row>
    <row r="5" spans="1:21" x14ac:dyDescent="0.25">
      <c r="F5" t="s">
        <v>10</v>
      </c>
      <c r="I5" t="s">
        <v>10</v>
      </c>
      <c r="L5" t="s">
        <v>10</v>
      </c>
      <c r="O5" t="s">
        <v>10</v>
      </c>
      <c r="Q5" s="11"/>
      <c r="R5" s="11"/>
      <c r="S5" s="21"/>
      <c r="T5" s="11"/>
      <c r="U5" s="11"/>
    </row>
    <row r="6" spans="1:21" ht="15.75" x14ac:dyDescent="0.25">
      <c r="A6" s="9" t="s">
        <v>27</v>
      </c>
      <c r="Q6" s="11"/>
      <c r="R6" s="11"/>
      <c r="S6" s="21"/>
      <c r="T6" s="11"/>
      <c r="U6" s="11"/>
    </row>
    <row r="7" spans="1:21" x14ac:dyDescent="0.25">
      <c r="A7" t="s">
        <v>227</v>
      </c>
      <c r="E7" s="32"/>
      <c r="F7" s="32">
        <v>12000</v>
      </c>
      <c r="G7" s="25"/>
      <c r="H7" s="25"/>
      <c r="I7" s="25">
        <v>11757</v>
      </c>
      <c r="K7" s="32"/>
      <c r="L7" s="32">
        <v>12000</v>
      </c>
      <c r="N7" s="25"/>
      <c r="O7" s="25">
        <v>11905</v>
      </c>
      <c r="Q7" s="21"/>
      <c r="R7" s="11"/>
      <c r="S7" s="11"/>
      <c r="T7" s="11"/>
      <c r="U7" s="11"/>
    </row>
    <row r="8" spans="1:21" x14ac:dyDescent="0.25">
      <c r="A8" t="s">
        <v>29</v>
      </c>
      <c r="E8" s="32"/>
      <c r="F8" s="32">
        <v>250</v>
      </c>
      <c r="G8" s="25"/>
      <c r="H8" s="25"/>
      <c r="I8" s="25">
        <v>488</v>
      </c>
      <c r="K8" s="32"/>
      <c r="L8" s="32">
        <v>900</v>
      </c>
      <c r="N8" s="25"/>
      <c r="O8" s="25">
        <v>885</v>
      </c>
      <c r="Q8" s="21"/>
      <c r="R8" s="11"/>
      <c r="S8" s="11"/>
      <c r="T8" s="11"/>
      <c r="U8" s="11"/>
    </row>
    <row r="9" spans="1:21" x14ac:dyDescent="0.25">
      <c r="A9" t="s">
        <v>30</v>
      </c>
      <c r="E9" s="32"/>
      <c r="F9" s="32">
        <v>1500</v>
      </c>
      <c r="G9" s="25"/>
      <c r="H9" s="25"/>
      <c r="I9" s="25">
        <v>1500</v>
      </c>
      <c r="K9" s="32"/>
      <c r="L9" s="32">
        <v>1500</v>
      </c>
      <c r="N9" s="25"/>
      <c r="O9" s="25">
        <v>1500</v>
      </c>
      <c r="Q9" s="21"/>
      <c r="R9" s="11"/>
      <c r="S9" s="11"/>
      <c r="T9" s="11"/>
      <c r="U9" s="11"/>
    </row>
    <row r="10" spans="1:21" x14ac:dyDescent="0.25">
      <c r="A10" t="s">
        <v>31</v>
      </c>
      <c r="E10" s="32"/>
      <c r="F10" s="32">
        <v>250</v>
      </c>
      <c r="G10" s="25"/>
      <c r="H10" s="25"/>
      <c r="I10" s="25">
        <v>0</v>
      </c>
      <c r="K10" s="32"/>
      <c r="L10" s="32">
        <v>250</v>
      </c>
      <c r="N10" s="25"/>
      <c r="O10" s="25">
        <v>250</v>
      </c>
      <c r="Q10" s="21"/>
      <c r="R10" s="11"/>
      <c r="S10" s="11"/>
      <c r="T10" s="11"/>
      <c r="U10" s="11"/>
    </row>
    <row r="11" spans="1:21" x14ac:dyDescent="0.25">
      <c r="A11" t="s">
        <v>153</v>
      </c>
      <c r="E11" s="32"/>
      <c r="F11" s="32">
        <v>450</v>
      </c>
      <c r="G11" s="25"/>
      <c r="H11" s="25"/>
      <c r="I11" s="25">
        <v>641</v>
      </c>
      <c r="K11" s="32"/>
      <c r="L11" s="32">
        <v>450</v>
      </c>
      <c r="N11" s="25"/>
      <c r="O11" s="25">
        <v>465</v>
      </c>
      <c r="Q11" s="21"/>
      <c r="R11" s="11"/>
      <c r="S11" s="11"/>
      <c r="T11" s="11"/>
      <c r="U11" s="11"/>
    </row>
    <row r="12" spans="1:21" x14ac:dyDescent="0.25">
      <c r="A12" t="s">
        <v>199</v>
      </c>
      <c r="E12" s="32"/>
      <c r="F12" s="32">
        <v>300</v>
      </c>
      <c r="G12" s="25"/>
      <c r="H12" s="25"/>
      <c r="I12" s="25">
        <v>0</v>
      </c>
      <c r="K12" s="32"/>
      <c r="L12" s="32">
        <v>300</v>
      </c>
      <c r="N12" s="25"/>
      <c r="O12" s="25">
        <v>325</v>
      </c>
      <c r="Q12" s="21"/>
      <c r="R12" s="11"/>
      <c r="S12" s="11"/>
      <c r="T12" s="11"/>
      <c r="U12" s="11"/>
    </row>
    <row r="13" spans="1:21" x14ac:dyDescent="0.25">
      <c r="A13" t="s">
        <v>172</v>
      </c>
      <c r="E13" s="32" t="s">
        <v>64</v>
      </c>
      <c r="F13" s="32">
        <v>400</v>
      </c>
      <c r="G13" s="25"/>
      <c r="H13" s="25"/>
      <c r="I13" s="25">
        <v>1400</v>
      </c>
      <c r="K13" s="32"/>
      <c r="L13" s="32">
        <v>400</v>
      </c>
      <c r="N13" s="25"/>
      <c r="O13" s="25">
        <v>800</v>
      </c>
      <c r="Q13" s="21"/>
      <c r="R13" s="11"/>
      <c r="S13" s="11"/>
      <c r="T13" s="11"/>
      <c r="U13" s="11"/>
    </row>
    <row r="14" spans="1:21" x14ac:dyDescent="0.25">
      <c r="A14" t="s">
        <v>292</v>
      </c>
      <c r="E14" s="32"/>
      <c r="F14" s="32">
        <v>6353</v>
      </c>
      <c r="G14" s="25"/>
      <c r="H14" s="25"/>
      <c r="I14" s="25">
        <v>0</v>
      </c>
      <c r="K14" s="32"/>
      <c r="L14" s="32"/>
      <c r="N14" s="25"/>
      <c r="O14" s="25"/>
      <c r="Q14" s="21"/>
      <c r="R14" s="11"/>
      <c r="S14" s="11"/>
      <c r="T14" s="11"/>
      <c r="U14" s="11"/>
    </row>
    <row r="15" spans="1:21" x14ac:dyDescent="0.25">
      <c r="A15" t="s">
        <v>152</v>
      </c>
      <c r="E15" s="32"/>
      <c r="F15" s="32">
        <v>900</v>
      </c>
      <c r="G15" s="25"/>
      <c r="H15" s="25"/>
      <c r="I15" s="25">
        <v>1190</v>
      </c>
      <c r="K15" s="32"/>
      <c r="L15" s="32">
        <v>1190</v>
      </c>
      <c r="N15" s="25"/>
      <c r="O15" s="25">
        <v>1171</v>
      </c>
      <c r="Q15" s="21"/>
      <c r="R15" s="11"/>
      <c r="S15" s="11"/>
      <c r="T15" s="11"/>
      <c r="U15" s="11"/>
    </row>
    <row r="16" spans="1:21" x14ac:dyDescent="0.25">
      <c r="A16" t="s">
        <v>200</v>
      </c>
      <c r="E16" s="32"/>
      <c r="F16" s="32">
        <v>75</v>
      </c>
      <c r="G16" s="25"/>
      <c r="H16" s="25" t="s">
        <v>64</v>
      </c>
      <c r="I16" s="25">
        <v>285</v>
      </c>
      <c r="K16" s="32"/>
      <c r="L16" s="32">
        <v>75</v>
      </c>
      <c r="N16" s="25" t="s">
        <v>64</v>
      </c>
      <c r="O16" s="25">
        <v>112</v>
      </c>
      <c r="Q16" s="21"/>
      <c r="R16" s="11"/>
      <c r="S16" s="11"/>
      <c r="T16" s="11"/>
      <c r="U16" s="11"/>
    </row>
    <row r="17" spans="1:22" x14ac:dyDescent="0.25">
      <c r="A17" t="s">
        <v>35</v>
      </c>
      <c r="E17" s="32"/>
      <c r="F17" s="32">
        <v>1500</v>
      </c>
      <c r="G17" s="25"/>
      <c r="H17" s="25"/>
      <c r="I17" s="25">
        <v>1500</v>
      </c>
      <c r="K17" s="32"/>
      <c r="L17" s="32">
        <v>1800</v>
      </c>
      <c r="N17" s="25"/>
      <c r="O17" s="25">
        <v>1950</v>
      </c>
      <c r="Q17" s="21"/>
      <c r="R17" s="11"/>
      <c r="S17" s="11"/>
      <c r="T17" s="11"/>
      <c r="U17" s="11"/>
    </row>
    <row r="18" spans="1:22" x14ac:dyDescent="0.25">
      <c r="A18" t="s">
        <v>34</v>
      </c>
      <c r="E18" s="32"/>
      <c r="F18" s="32">
        <v>1000</v>
      </c>
      <c r="G18" s="25"/>
      <c r="H18" s="25"/>
      <c r="I18" s="25">
        <v>610</v>
      </c>
      <c r="K18" s="32"/>
      <c r="L18" s="32">
        <v>650</v>
      </c>
      <c r="N18" s="25"/>
      <c r="O18" s="25">
        <v>616</v>
      </c>
      <c r="Q18" s="21"/>
      <c r="R18" s="11"/>
      <c r="S18" s="11"/>
      <c r="T18" s="11"/>
      <c r="U18" s="11"/>
    </row>
    <row r="19" spans="1:22" x14ac:dyDescent="0.25">
      <c r="A19" t="s">
        <v>201</v>
      </c>
      <c r="E19" s="32"/>
      <c r="F19" s="32">
        <v>150</v>
      </c>
      <c r="G19" s="25"/>
      <c r="H19" s="25"/>
      <c r="I19" s="25">
        <v>98</v>
      </c>
      <c r="K19" s="32"/>
      <c r="L19" s="32">
        <v>250</v>
      </c>
      <c r="N19" s="25"/>
      <c r="O19" s="25">
        <v>249</v>
      </c>
      <c r="Q19" s="21"/>
      <c r="R19" s="11"/>
      <c r="S19" s="11"/>
      <c r="T19" s="11"/>
      <c r="U19" s="11"/>
    </row>
    <row r="20" spans="1:22" x14ac:dyDescent="0.25">
      <c r="A20" t="s">
        <v>38</v>
      </c>
      <c r="E20" s="32"/>
      <c r="F20" s="32">
        <v>400</v>
      </c>
      <c r="G20" s="25"/>
      <c r="H20" s="25"/>
      <c r="I20" s="25">
        <v>1360</v>
      </c>
      <c r="K20" s="32"/>
      <c r="L20" s="32">
        <v>400</v>
      </c>
      <c r="N20" s="25"/>
      <c r="O20" s="25">
        <v>466</v>
      </c>
      <c r="Q20" s="21"/>
      <c r="R20" s="11"/>
      <c r="S20" s="11"/>
    </row>
    <row r="21" spans="1:22" ht="15.75" x14ac:dyDescent="0.25">
      <c r="A21" s="9" t="s">
        <v>49</v>
      </c>
      <c r="E21" s="32"/>
      <c r="F21" s="34">
        <f>SUM(F7:F20)</f>
        <v>25528</v>
      </c>
      <c r="G21" s="25"/>
      <c r="H21" s="25"/>
      <c r="I21" s="35">
        <f>SUM(I7:I20)</f>
        <v>20829</v>
      </c>
      <c r="K21" s="32"/>
      <c r="L21" s="34">
        <f>SUM(L7:L20)</f>
        <v>20165</v>
      </c>
      <c r="N21" s="25"/>
      <c r="O21" s="35">
        <f>SUM(O7:O20)</f>
        <v>20694</v>
      </c>
      <c r="Q21" s="21"/>
      <c r="R21" s="11"/>
      <c r="S21" s="11"/>
    </row>
    <row r="22" spans="1:22" x14ac:dyDescent="0.25">
      <c r="E22" s="32"/>
      <c r="F22" s="32"/>
      <c r="G22" s="25"/>
      <c r="H22" s="25"/>
      <c r="I22" s="25"/>
      <c r="K22" s="32"/>
      <c r="L22" s="32"/>
      <c r="N22" s="25"/>
      <c r="O22" s="25"/>
      <c r="Q22" s="21"/>
      <c r="R22" s="11"/>
      <c r="S22" s="11"/>
    </row>
    <row r="23" spans="1:22" ht="18.75" x14ac:dyDescent="0.3">
      <c r="A23" s="3" t="s">
        <v>41</v>
      </c>
      <c r="E23" s="32"/>
      <c r="F23" s="32"/>
      <c r="G23" s="25"/>
      <c r="H23" s="25"/>
      <c r="I23" s="25"/>
      <c r="K23" s="32"/>
      <c r="L23" s="32"/>
      <c r="N23" s="25"/>
      <c r="O23" s="25"/>
      <c r="Q23" s="11"/>
      <c r="R23" s="21"/>
      <c r="S23" s="11"/>
      <c r="T23" s="11"/>
      <c r="U23" s="56"/>
      <c r="V23" s="60"/>
    </row>
    <row r="24" spans="1:22" x14ac:dyDescent="0.25">
      <c r="A24" s="2" t="s">
        <v>42</v>
      </c>
      <c r="E24" s="32"/>
      <c r="F24" s="32"/>
      <c r="G24" s="25"/>
      <c r="H24" s="25"/>
      <c r="I24" s="25"/>
      <c r="K24" s="32"/>
      <c r="L24" s="32"/>
      <c r="N24" s="25"/>
      <c r="O24" s="25"/>
      <c r="Q24" s="11"/>
      <c r="R24" s="21"/>
      <c r="S24" s="11"/>
      <c r="T24" s="11"/>
      <c r="U24" s="56"/>
      <c r="V24" s="60"/>
    </row>
    <row r="25" spans="1:22" x14ac:dyDescent="0.25">
      <c r="B25" t="s">
        <v>43</v>
      </c>
      <c r="E25" s="32">
        <v>3000</v>
      </c>
      <c r="F25" s="32"/>
      <c r="G25" s="25"/>
      <c r="H25" s="25">
        <v>2618</v>
      </c>
      <c r="I25" s="25"/>
      <c r="K25" s="32">
        <v>1650</v>
      </c>
      <c r="L25" s="32"/>
      <c r="N25" s="25">
        <v>1492</v>
      </c>
      <c r="O25" s="25"/>
      <c r="Q25" s="11"/>
      <c r="R25" s="21"/>
      <c r="S25" s="11"/>
      <c r="T25" s="11"/>
      <c r="U25" s="56"/>
      <c r="V25" s="60"/>
    </row>
    <row r="26" spans="1:22" x14ac:dyDescent="0.25">
      <c r="B26" t="s">
        <v>103</v>
      </c>
      <c r="E26" s="32"/>
      <c r="F26" s="32"/>
      <c r="G26" s="25"/>
      <c r="H26" s="25"/>
      <c r="I26" s="25"/>
      <c r="K26" s="32"/>
      <c r="L26" s="32"/>
      <c r="N26" s="25"/>
      <c r="O26" s="25"/>
      <c r="Q26" s="11"/>
      <c r="R26" s="21"/>
      <c r="S26" s="11"/>
      <c r="T26" s="11"/>
      <c r="U26" s="56"/>
      <c r="V26" s="60"/>
    </row>
    <row r="27" spans="1:22" x14ac:dyDescent="0.25">
      <c r="B27" t="s">
        <v>104</v>
      </c>
      <c r="E27" s="32">
        <v>650</v>
      </c>
      <c r="F27" s="32"/>
      <c r="G27" s="25"/>
      <c r="H27" s="25">
        <v>380</v>
      </c>
      <c r="I27" s="25"/>
      <c r="K27" s="32">
        <v>650</v>
      </c>
      <c r="L27" s="32"/>
      <c r="N27" s="25">
        <v>661</v>
      </c>
      <c r="O27" s="25"/>
      <c r="Q27" s="11"/>
      <c r="R27" s="21"/>
      <c r="S27" s="11"/>
      <c r="T27" s="11"/>
      <c r="U27" s="56"/>
      <c r="V27" s="60"/>
    </row>
    <row r="28" spans="1:22" x14ac:dyDescent="0.25">
      <c r="B28" t="s">
        <v>45</v>
      </c>
      <c r="E28" s="32">
        <v>775</v>
      </c>
      <c r="F28" s="32"/>
      <c r="G28" s="25"/>
      <c r="H28" s="25">
        <v>963</v>
      </c>
      <c r="I28" s="25"/>
      <c r="K28" s="32">
        <v>775</v>
      </c>
      <c r="L28" s="32"/>
      <c r="N28" s="25">
        <v>740</v>
      </c>
      <c r="O28" s="25"/>
      <c r="Q28" s="11"/>
      <c r="R28" s="21"/>
      <c r="S28" s="11"/>
      <c r="T28" s="11"/>
      <c r="U28" s="56"/>
      <c r="V28" s="60"/>
    </row>
    <row r="29" spans="1:22" x14ac:dyDescent="0.25">
      <c r="B29" t="s">
        <v>46</v>
      </c>
      <c r="E29" s="32">
        <v>800</v>
      </c>
      <c r="F29" s="32"/>
      <c r="G29" s="25"/>
      <c r="H29" s="25">
        <v>712</v>
      </c>
      <c r="I29" s="25"/>
      <c r="K29" s="32">
        <v>800</v>
      </c>
      <c r="L29" s="32"/>
      <c r="N29" s="25">
        <v>990</v>
      </c>
      <c r="O29" s="25"/>
      <c r="Q29" s="11"/>
      <c r="R29" s="21"/>
      <c r="S29" s="11"/>
      <c r="T29" s="11"/>
      <c r="U29" s="56"/>
      <c r="V29" s="60"/>
    </row>
    <row r="30" spans="1:22" x14ac:dyDescent="0.25">
      <c r="B30" t="s">
        <v>47</v>
      </c>
      <c r="E30" s="32">
        <v>1375</v>
      </c>
      <c r="F30" s="32"/>
      <c r="G30" s="25"/>
      <c r="H30" s="25">
        <v>1375</v>
      </c>
      <c r="I30" s="25"/>
      <c r="K30" s="32">
        <v>1375</v>
      </c>
      <c r="L30" s="32"/>
      <c r="N30" s="25">
        <v>1366</v>
      </c>
      <c r="O30" s="25"/>
      <c r="Q30" s="11"/>
      <c r="R30" s="21"/>
      <c r="S30" s="11"/>
      <c r="T30" s="11"/>
      <c r="U30" s="56"/>
      <c r="V30" s="60"/>
    </row>
    <row r="31" spans="1:22" x14ac:dyDescent="0.25">
      <c r="B31" s="45" t="s">
        <v>163</v>
      </c>
      <c r="C31" s="45"/>
      <c r="D31" s="45"/>
      <c r="E31" s="51">
        <v>6353</v>
      </c>
      <c r="F31" s="32"/>
      <c r="G31" s="25"/>
      <c r="H31" s="51">
        <v>3022</v>
      </c>
      <c r="I31" s="25"/>
      <c r="J31" s="45"/>
      <c r="K31" s="51">
        <v>0</v>
      </c>
      <c r="L31" s="32"/>
      <c r="N31" s="51">
        <v>1349</v>
      </c>
      <c r="O31" s="25"/>
      <c r="Q31" s="11"/>
      <c r="R31" s="21"/>
      <c r="S31" s="11"/>
      <c r="T31" s="11"/>
      <c r="U31" s="56"/>
      <c r="V31" s="60"/>
    </row>
    <row r="32" spans="1:22" x14ac:dyDescent="0.25">
      <c r="E32" s="32"/>
      <c r="F32" s="32">
        <f>SUM(E25:E31)</f>
        <v>12953</v>
      </c>
      <c r="G32" s="25"/>
      <c r="H32" s="25"/>
      <c r="I32" s="25">
        <f>SUM(H25:H31)</f>
        <v>9070</v>
      </c>
      <c r="K32" s="32"/>
      <c r="L32" s="32">
        <f>SUM(K25:K31)</f>
        <v>5250</v>
      </c>
      <c r="N32" s="25"/>
      <c r="O32" s="25">
        <f>SUM(N25:N31)</f>
        <v>6598</v>
      </c>
      <c r="Q32" s="11"/>
      <c r="R32" s="21"/>
      <c r="S32" s="11"/>
      <c r="T32" s="11"/>
      <c r="U32" s="56"/>
      <c r="V32" s="60"/>
    </row>
    <row r="33" spans="1:22" ht="15.75" x14ac:dyDescent="0.25">
      <c r="A33" s="9" t="s">
        <v>50</v>
      </c>
      <c r="E33" s="32"/>
      <c r="F33" s="32"/>
      <c r="G33" s="25"/>
      <c r="H33" s="25"/>
      <c r="I33" s="25"/>
      <c r="K33" s="32"/>
      <c r="L33" s="32"/>
      <c r="N33" s="25"/>
      <c r="O33" s="25"/>
      <c r="Q33" s="11"/>
      <c r="R33" s="21"/>
      <c r="S33" s="11"/>
      <c r="T33" s="11"/>
      <c r="U33" s="56"/>
      <c r="V33" s="60"/>
    </row>
    <row r="34" spans="1:22" x14ac:dyDescent="0.25">
      <c r="B34" t="s">
        <v>301</v>
      </c>
      <c r="E34" s="32">
        <v>9000</v>
      </c>
      <c r="F34" s="32"/>
      <c r="G34" s="25"/>
      <c r="H34" s="25">
        <v>9800</v>
      </c>
      <c r="I34" s="25"/>
      <c r="K34" s="32">
        <v>9000</v>
      </c>
      <c r="L34" s="32"/>
      <c r="N34" s="25">
        <v>8854</v>
      </c>
      <c r="O34" s="25"/>
      <c r="Q34" s="11"/>
      <c r="R34" s="21"/>
      <c r="S34" s="11"/>
      <c r="T34" s="11"/>
      <c r="U34" s="56"/>
      <c r="V34" s="60"/>
    </row>
    <row r="35" spans="1:22" x14ac:dyDescent="0.25">
      <c r="B35" t="s">
        <v>52</v>
      </c>
      <c r="E35" s="32">
        <v>600</v>
      </c>
      <c r="F35" s="32"/>
      <c r="G35" s="25"/>
      <c r="H35" s="25">
        <v>573</v>
      </c>
      <c r="I35" s="25"/>
      <c r="K35" s="32">
        <v>400</v>
      </c>
      <c r="L35" s="32"/>
      <c r="N35" s="25">
        <v>309</v>
      </c>
      <c r="O35" s="25"/>
      <c r="Q35" s="11"/>
      <c r="R35" s="21"/>
      <c r="S35" s="11"/>
      <c r="T35" s="11"/>
      <c r="U35" s="56"/>
      <c r="V35" s="60"/>
    </row>
    <row r="36" spans="1:22" x14ac:dyDescent="0.25">
      <c r="B36" t="s">
        <v>53</v>
      </c>
      <c r="E36" s="32">
        <v>850</v>
      </c>
      <c r="F36" s="32"/>
      <c r="G36" s="25"/>
      <c r="H36" s="25">
        <v>458</v>
      </c>
      <c r="I36" s="25"/>
      <c r="K36" s="32">
        <v>500</v>
      </c>
      <c r="L36" s="32"/>
      <c r="N36" s="25">
        <v>448</v>
      </c>
      <c r="O36" s="25"/>
      <c r="Q36" s="11"/>
      <c r="R36" s="21"/>
      <c r="S36" s="11"/>
      <c r="T36" s="11"/>
      <c r="U36" s="56"/>
      <c r="V36" s="60"/>
    </row>
    <row r="37" spans="1:22" x14ac:dyDescent="0.25">
      <c r="B37" t="s">
        <v>184</v>
      </c>
      <c r="E37" s="32">
        <v>160</v>
      </c>
      <c r="F37" s="32"/>
      <c r="G37" s="25"/>
      <c r="H37" s="25">
        <v>160</v>
      </c>
      <c r="I37" s="25"/>
      <c r="K37" s="32">
        <v>160</v>
      </c>
      <c r="L37" s="32"/>
      <c r="N37" s="25">
        <v>317</v>
      </c>
      <c r="O37" s="25"/>
      <c r="Q37" s="11"/>
      <c r="R37" s="21"/>
      <c r="S37" s="11"/>
      <c r="T37" s="11"/>
      <c r="U37" s="56"/>
      <c r="V37" s="60"/>
    </row>
    <row r="38" spans="1:22" x14ac:dyDescent="0.25">
      <c r="B38" t="s">
        <v>231</v>
      </c>
      <c r="E38" s="32">
        <v>175</v>
      </c>
      <c r="F38" s="32"/>
      <c r="G38" s="25"/>
      <c r="H38" s="25">
        <v>173</v>
      </c>
      <c r="I38" s="25"/>
      <c r="K38" s="32">
        <v>175</v>
      </c>
      <c r="L38" s="32"/>
      <c r="N38" s="25">
        <v>135</v>
      </c>
      <c r="O38" s="25"/>
      <c r="Q38" s="11"/>
      <c r="R38" s="21"/>
      <c r="S38" s="11"/>
      <c r="T38" s="11"/>
      <c r="U38" s="56"/>
      <c r="V38" s="60"/>
    </row>
    <row r="39" spans="1:22" x14ac:dyDescent="0.25">
      <c r="B39" t="s">
        <v>54</v>
      </c>
      <c r="E39" s="32">
        <v>500</v>
      </c>
      <c r="F39" s="32"/>
      <c r="G39" s="25"/>
      <c r="H39" s="25">
        <v>902</v>
      </c>
      <c r="I39" s="25"/>
      <c r="K39" s="32">
        <v>500</v>
      </c>
      <c r="L39" s="32"/>
      <c r="N39" s="25">
        <f>688+107</f>
        <v>795</v>
      </c>
      <c r="O39" s="25"/>
      <c r="Q39" s="11"/>
      <c r="R39" s="21"/>
      <c r="S39" s="11"/>
      <c r="T39" s="11"/>
    </row>
    <row r="40" spans="1:22" x14ac:dyDescent="0.25">
      <c r="B40" t="s">
        <v>34</v>
      </c>
      <c r="E40" s="32">
        <v>100</v>
      </c>
      <c r="F40" s="32"/>
      <c r="G40" s="25"/>
      <c r="H40" s="25">
        <v>89</v>
      </c>
      <c r="I40" s="25"/>
      <c r="K40" s="32">
        <v>100</v>
      </c>
      <c r="L40" s="32"/>
      <c r="N40" s="25">
        <v>89</v>
      </c>
      <c r="O40" s="25"/>
      <c r="Q40" s="11"/>
      <c r="R40" s="21"/>
      <c r="S40" s="11"/>
      <c r="T40" s="11"/>
    </row>
    <row r="41" spans="1:22" x14ac:dyDescent="0.25">
      <c r="B41" t="s">
        <v>36</v>
      </c>
      <c r="E41" s="33">
        <v>40</v>
      </c>
      <c r="F41" s="32"/>
      <c r="G41" s="25"/>
      <c r="H41" s="28">
        <v>31</v>
      </c>
      <c r="I41" s="25"/>
      <c r="K41" s="33">
        <v>100</v>
      </c>
      <c r="L41" s="32"/>
      <c r="N41" s="28">
        <v>56</v>
      </c>
      <c r="O41" s="25"/>
      <c r="Q41" s="11"/>
      <c r="R41" s="21"/>
      <c r="S41" s="11"/>
      <c r="T41" s="11"/>
    </row>
    <row r="42" spans="1:22" x14ac:dyDescent="0.25">
      <c r="E42" s="32"/>
      <c r="F42" s="32">
        <f>SUM(E34:E41)</f>
        <v>11425</v>
      </c>
      <c r="G42" s="25"/>
      <c r="H42" s="25"/>
      <c r="I42" s="25">
        <f>SUM(H34:H41)</f>
        <v>12186</v>
      </c>
      <c r="K42" s="32"/>
      <c r="L42" s="32">
        <f>SUM(K34:K41)</f>
        <v>10935</v>
      </c>
      <c r="N42" s="25"/>
      <c r="O42" s="25">
        <f>SUM(N34:N41)</f>
        <v>11003</v>
      </c>
      <c r="Q42" s="11"/>
      <c r="R42" s="21"/>
      <c r="S42" s="11"/>
      <c r="T42" s="11"/>
    </row>
    <row r="43" spans="1:22" ht="15.75" x14ac:dyDescent="0.25">
      <c r="A43" s="9" t="s">
        <v>55</v>
      </c>
      <c r="E43" s="32"/>
      <c r="F43" s="32"/>
      <c r="G43" s="25"/>
      <c r="H43" s="25"/>
      <c r="I43" s="25"/>
      <c r="K43" s="32"/>
      <c r="L43" s="32"/>
      <c r="N43" s="25"/>
      <c r="O43" s="25"/>
      <c r="Q43" s="11"/>
      <c r="R43" s="21"/>
      <c r="S43" s="11"/>
      <c r="T43" s="11"/>
    </row>
    <row r="44" spans="1:22" x14ac:dyDescent="0.25">
      <c r="B44" t="s">
        <v>56</v>
      </c>
      <c r="E44" s="32">
        <v>500</v>
      </c>
      <c r="F44" s="32"/>
      <c r="G44" s="25"/>
      <c r="H44" s="25">
        <v>584</v>
      </c>
      <c r="I44" s="25"/>
      <c r="K44" s="32">
        <v>500</v>
      </c>
      <c r="L44" s="32"/>
      <c r="N44" s="25">
        <v>539</v>
      </c>
      <c r="O44" s="25"/>
      <c r="Q44" s="11"/>
      <c r="R44" s="21"/>
      <c r="S44" s="11"/>
      <c r="T44" s="11"/>
    </row>
    <row r="45" spans="1:22" x14ac:dyDescent="0.25">
      <c r="B45" t="s">
        <v>121</v>
      </c>
      <c r="E45" s="32">
        <v>250</v>
      </c>
      <c r="F45" s="32"/>
      <c r="G45" s="25"/>
      <c r="H45" s="25">
        <v>182</v>
      </c>
      <c r="I45" s="25"/>
      <c r="K45" s="32">
        <v>500</v>
      </c>
      <c r="L45" s="32"/>
      <c r="N45" s="25">
        <v>306</v>
      </c>
      <c r="O45" s="25"/>
      <c r="Q45" s="11"/>
      <c r="R45" s="21"/>
      <c r="S45" s="11"/>
      <c r="T45" s="11"/>
    </row>
    <row r="46" spans="1:22" x14ac:dyDescent="0.25">
      <c r="B46" t="s">
        <v>59</v>
      </c>
      <c r="E46" s="33">
        <v>700</v>
      </c>
      <c r="F46" s="32"/>
      <c r="G46" s="25"/>
      <c r="H46" s="28">
        <v>668</v>
      </c>
      <c r="I46" s="25"/>
      <c r="K46" s="33">
        <v>700</v>
      </c>
      <c r="L46" s="32"/>
      <c r="N46" s="28">
        <v>683</v>
      </c>
      <c r="O46" s="25"/>
      <c r="Q46" s="11"/>
      <c r="R46" s="21"/>
      <c r="S46" s="11"/>
      <c r="T46" s="11"/>
    </row>
    <row r="47" spans="1:22" x14ac:dyDescent="0.25">
      <c r="E47" s="32"/>
      <c r="F47" s="33">
        <f>SUM(E44:E46)</f>
        <v>1450</v>
      </c>
      <c r="G47" s="25"/>
      <c r="H47" s="25"/>
      <c r="I47" s="28">
        <f>SUM(H44:H46)</f>
        <v>1434</v>
      </c>
      <c r="K47" s="32"/>
      <c r="L47" s="33">
        <f>SUM(K44:K46)</f>
        <v>1700</v>
      </c>
      <c r="N47" s="25"/>
      <c r="O47" s="28">
        <f>SUM(N44:N46)</f>
        <v>1528</v>
      </c>
      <c r="Q47" s="11"/>
      <c r="R47" s="21"/>
      <c r="S47" s="11"/>
      <c r="T47" s="11"/>
    </row>
    <row r="48" spans="1:22" ht="15.75" x14ac:dyDescent="0.25">
      <c r="A48" s="9" t="s">
        <v>60</v>
      </c>
      <c r="E48" s="32"/>
      <c r="F48" s="34">
        <f>SUM(F23:F47)</f>
        <v>25828</v>
      </c>
      <c r="G48" s="25"/>
      <c r="H48" s="25"/>
      <c r="I48" s="35">
        <f>SUM(I23:I47)</f>
        <v>22690</v>
      </c>
      <c r="K48" s="32"/>
      <c r="L48" s="34">
        <f>SUM(L23:L47)</f>
        <v>17885</v>
      </c>
      <c r="N48" s="25"/>
      <c r="O48" s="35">
        <f>SUM(O23:O47)</f>
        <v>19129</v>
      </c>
      <c r="Q48" s="11"/>
      <c r="R48" s="21"/>
      <c r="S48" s="11"/>
      <c r="T48" s="11"/>
    </row>
    <row r="49" spans="1:15" x14ac:dyDescent="0.25">
      <c r="E49" s="32"/>
      <c r="F49" s="32"/>
      <c r="G49" s="25"/>
      <c r="H49" s="25"/>
      <c r="I49" s="25"/>
      <c r="K49" s="32"/>
      <c r="L49" s="32"/>
      <c r="N49" s="25"/>
      <c r="O49" s="25"/>
    </row>
    <row r="50" spans="1:15" ht="15.75" thickBot="1" x14ac:dyDescent="0.3">
      <c r="A50" t="s">
        <v>61</v>
      </c>
      <c r="E50" s="32"/>
      <c r="F50" s="36">
        <f>F21-F48</f>
        <v>-300</v>
      </c>
      <c r="G50" s="25"/>
      <c r="H50" s="25"/>
      <c r="I50" s="37">
        <f>I21-I48</f>
        <v>-1861</v>
      </c>
      <c r="K50" s="32"/>
      <c r="L50" s="36">
        <f>L21-L48</f>
        <v>2280</v>
      </c>
      <c r="N50" s="25"/>
      <c r="O50" s="37">
        <f>O21-O48</f>
        <v>1565</v>
      </c>
    </row>
    <row r="51" spans="1:15" ht="15.75" thickTop="1" x14ac:dyDescent="0.25"/>
    <row r="52" spans="1:15" x14ac:dyDescent="0.25">
      <c r="A52" s="44" t="s">
        <v>163</v>
      </c>
      <c r="B52" s="44"/>
      <c r="C52" s="44"/>
      <c r="D52" s="44"/>
      <c r="E52" s="44"/>
      <c r="F52" s="44"/>
      <c r="G52" s="44" t="s">
        <v>163</v>
      </c>
      <c r="H52" s="45"/>
      <c r="I52" s="45"/>
      <c r="J52" s="44"/>
      <c r="K52" s="44"/>
      <c r="L52" s="53"/>
      <c r="M52" s="44" t="s">
        <v>163</v>
      </c>
      <c r="N52" s="45"/>
      <c r="O52" s="45"/>
    </row>
    <row r="53" spans="1:15" x14ac:dyDescent="0.25">
      <c r="A53" s="45"/>
      <c r="B53" s="45" t="s">
        <v>302</v>
      </c>
      <c r="C53" s="45"/>
      <c r="D53" s="45"/>
      <c r="E53" s="45"/>
      <c r="F53" s="45">
        <v>6353</v>
      </c>
      <c r="G53" s="45" t="s">
        <v>299</v>
      </c>
      <c r="H53" s="45"/>
      <c r="I53" s="46">
        <v>2722</v>
      </c>
      <c r="J53" s="45"/>
      <c r="K53" s="46"/>
      <c r="M53" s="45"/>
      <c r="N53" s="45"/>
      <c r="O53" s="46"/>
    </row>
    <row r="54" spans="1:15" x14ac:dyDescent="0.25">
      <c r="A54" s="45"/>
      <c r="B54" s="45"/>
      <c r="C54" s="45"/>
      <c r="D54" s="45"/>
      <c r="E54" s="45"/>
      <c r="F54" s="45"/>
      <c r="G54" s="45" t="s">
        <v>300</v>
      </c>
      <c r="H54" s="45"/>
      <c r="I54" s="46">
        <v>300</v>
      </c>
      <c r="J54" s="45"/>
      <c r="K54" s="46"/>
      <c r="M54" s="45"/>
      <c r="N54" s="45"/>
      <c r="O54" s="46"/>
    </row>
    <row r="55" spans="1:15" x14ac:dyDescent="0.25">
      <c r="A55" s="45"/>
      <c r="B55" s="45"/>
      <c r="C55" s="45"/>
      <c r="D55" s="45"/>
      <c r="E55" s="45"/>
      <c r="F55" s="45"/>
      <c r="G55" s="45" t="s">
        <v>64</v>
      </c>
      <c r="H55" s="45"/>
      <c r="I55" s="46" t="s">
        <v>64</v>
      </c>
      <c r="J55" s="45"/>
      <c r="K55" s="46"/>
      <c r="M55" s="45" t="s">
        <v>206</v>
      </c>
      <c r="N55" s="45"/>
      <c r="O55" s="46">
        <v>1349</v>
      </c>
    </row>
    <row r="56" spans="1:15" ht="15.75" thickBot="1" x14ac:dyDescent="0.3">
      <c r="A56" s="45"/>
      <c r="B56" s="45"/>
      <c r="C56" s="45"/>
      <c r="D56" s="45"/>
      <c r="E56" s="45"/>
      <c r="F56" s="45"/>
      <c r="G56" s="45"/>
      <c r="H56" s="45"/>
      <c r="I56" s="47">
        <f>SUM(I53:I55)</f>
        <v>3022</v>
      </c>
      <c r="J56" s="45"/>
      <c r="K56" s="46"/>
      <c r="M56" s="45"/>
      <c r="N56" s="45"/>
      <c r="O56" s="47">
        <f>SUM(O53:O55)</f>
        <v>1349</v>
      </c>
    </row>
    <row r="57" spans="1:15" ht="15.75" thickTop="1" x14ac:dyDescent="0.25"/>
  </sheetData>
  <pageMargins left="0.7" right="0.7" top="0.75" bottom="0.75" header="0.3" footer="0.3"/>
  <pageSetup paperSize="9" scale="66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1A7A-1371-47BC-957A-8336DB9B454F}">
  <dimension ref="A1:AD61"/>
  <sheetViews>
    <sheetView topLeftCell="A24" workbookViewId="0">
      <selection activeCell="E59" sqref="E59"/>
    </sheetView>
  </sheetViews>
  <sheetFormatPr defaultRowHeight="15" x14ac:dyDescent="0.25"/>
  <cols>
    <col min="1" max="1" width="2" customWidth="1"/>
    <col min="3" max="3" width="22" customWidth="1"/>
    <col min="4" max="4" width="9.5703125" customWidth="1"/>
    <col min="5" max="5" width="9.7109375" customWidth="1"/>
    <col min="6" max="6" width="1.42578125" customWidth="1"/>
    <col min="7" max="7" width="11.42578125" customWidth="1"/>
    <col min="8" max="8" width="10.28515625" customWidth="1"/>
    <col min="9" max="9" width="2.140625" customWidth="1"/>
    <col min="10" max="10" width="9.28515625" customWidth="1"/>
    <col min="11" max="11" width="9.7109375" customWidth="1"/>
    <col min="12" max="12" width="1.7109375" customWidth="1"/>
    <col min="13" max="13" width="9.85546875" customWidth="1"/>
    <col min="14" max="14" width="10.28515625" customWidth="1"/>
    <col min="15" max="15" width="2" customWidth="1"/>
  </cols>
  <sheetData>
    <row r="1" spans="1:15" ht="21" x14ac:dyDescent="0.35">
      <c r="A1" s="7" t="s">
        <v>0</v>
      </c>
    </row>
    <row r="3" spans="1:15" ht="18.75" x14ac:dyDescent="0.3">
      <c r="A3" s="3" t="s">
        <v>26</v>
      </c>
      <c r="B3" s="3"/>
      <c r="C3" s="3"/>
      <c r="D3" s="2" t="s">
        <v>40</v>
      </c>
      <c r="E3" s="2"/>
      <c r="F3" s="2"/>
      <c r="G3" s="2" t="s">
        <v>39</v>
      </c>
      <c r="H3" s="3"/>
      <c r="I3" s="3"/>
      <c r="J3" s="2" t="s">
        <v>40</v>
      </c>
      <c r="K3" s="2"/>
      <c r="L3" s="3"/>
      <c r="M3" s="2" t="s">
        <v>39</v>
      </c>
      <c r="N3" s="3"/>
      <c r="O3" s="3"/>
    </row>
    <row r="4" spans="1:15" x14ac:dyDescent="0.25">
      <c r="D4" s="5"/>
      <c r="E4" s="5">
        <v>2023</v>
      </c>
      <c r="G4" s="5"/>
      <c r="H4" s="5">
        <v>2022</v>
      </c>
      <c r="J4" s="5"/>
      <c r="K4" s="5">
        <v>2022</v>
      </c>
      <c r="L4" s="5"/>
      <c r="M4" s="5"/>
      <c r="N4" s="5">
        <v>2021</v>
      </c>
    </row>
    <row r="5" spans="1:15" x14ac:dyDescent="0.25">
      <c r="E5" t="s">
        <v>10</v>
      </c>
      <c r="H5" t="s">
        <v>10</v>
      </c>
      <c r="K5" t="s">
        <v>10</v>
      </c>
      <c r="N5" t="s">
        <v>10</v>
      </c>
    </row>
    <row r="6" spans="1:15" ht="15.75" x14ac:dyDescent="0.25">
      <c r="A6" s="9" t="s">
        <v>27</v>
      </c>
      <c r="L6" s="25"/>
      <c r="O6" s="25"/>
    </row>
    <row r="7" spans="1:15" x14ac:dyDescent="0.25">
      <c r="A7" t="s">
        <v>227</v>
      </c>
      <c r="D7" s="32"/>
      <c r="E7" s="32">
        <v>12000</v>
      </c>
      <c r="G7" s="25"/>
      <c r="H7" s="25">
        <f>11527+244</f>
        <v>11771</v>
      </c>
      <c r="J7" s="32"/>
      <c r="K7" s="32">
        <v>12000</v>
      </c>
      <c r="L7" s="25"/>
      <c r="M7" s="25"/>
      <c r="N7" s="25">
        <v>11747</v>
      </c>
      <c r="O7" s="25"/>
    </row>
    <row r="8" spans="1:15" x14ac:dyDescent="0.25">
      <c r="A8" t="s">
        <v>29</v>
      </c>
      <c r="D8" s="32"/>
      <c r="E8" s="32">
        <v>1200</v>
      </c>
      <c r="G8" s="25"/>
      <c r="H8" s="25">
        <v>1141</v>
      </c>
      <c r="J8" s="32"/>
      <c r="K8" s="32">
        <v>750</v>
      </c>
      <c r="L8" s="25"/>
      <c r="M8" s="25"/>
      <c r="N8" s="25">
        <v>1097</v>
      </c>
      <c r="O8" s="25"/>
    </row>
    <row r="9" spans="1:15" x14ac:dyDescent="0.25">
      <c r="A9" t="s">
        <v>30</v>
      </c>
      <c r="D9" s="32"/>
      <c r="E9" s="32">
        <v>1500</v>
      </c>
      <c r="G9" s="25"/>
      <c r="H9" s="25">
        <v>1500</v>
      </c>
      <c r="J9" s="32"/>
      <c r="K9" s="32">
        <v>1500</v>
      </c>
      <c r="L9" s="25"/>
      <c r="M9" s="25"/>
      <c r="N9" s="25">
        <v>1500</v>
      </c>
      <c r="O9" s="25"/>
    </row>
    <row r="10" spans="1:15" x14ac:dyDescent="0.25">
      <c r="A10" t="s">
        <v>31</v>
      </c>
      <c r="D10" s="32"/>
      <c r="E10" s="32">
        <v>350</v>
      </c>
      <c r="G10" s="25"/>
      <c r="H10" s="25">
        <v>250</v>
      </c>
      <c r="J10" s="32"/>
      <c r="K10" s="32">
        <v>0</v>
      </c>
      <c r="L10" s="25"/>
      <c r="M10" s="25"/>
      <c r="N10" s="25">
        <v>0</v>
      </c>
      <c r="O10" s="25"/>
    </row>
    <row r="11" spans="1:15" x14ac:dyDescent="0.25">
      <c r="A11" t="s">
        <v>153</v>
      </c>
      <c r="D11" s="32"/>
      <c r="E11" s="32">
        <v>350</v>
      </c>
      <c r="G11" s="25"/>
      <c r="H11" s="25">
        <v>332</v>
      </c>
      <c r="J11" s="32"/>
      <c r="K11" s="32">
        <v>200</v>
      </c>
      <c r="L11" s="25"/>
      <c r="M11" s="25"/>
      <c r="N11" s="25">
        <v>189</v>
      </c>
      <c r="O11" s="25"/>
    </row>
    <row r="12" spans="1:15" x14ac:dyDescent="0.25">
      <c r="A12" t="s">
        <v>199</v>
      </c>
      <c r="D12" s="32"/>
      <c r="E12" s="32">
        <v>240</v>
      </c>
      <c r="G12" s="25"/>
      <c r="H12" s="25">
        <v>240</v>
      </c>
      <c r="J12" s="32"/>
      <c r="K12" s="32">
        <v>200</v>
      </c>
      <c r="L12" s="25"/>
      <c r="M12" s="25"/>
      <c r="N12" s="25">
        <v>165</v>
      </c>
      <c r="O12" s="25"/>
    </row>
    <row r="13" spans="1:15" x14ac:dyDescent="0.25">
      <c r="A13" t="s">
        <v>193</v>
      </c>
      <c r="D13" s="32"/>
      <c r="E13" s="32">
        <v>0</v>
      </c>
      <c r="G13" s="25"/>
      <c r="H13" s="25">
        <v>0</v>
      </c>
      <c r="J13" s="32"/>
      <c r="K13" s="32">
        <v>0</v>
      </c>
      <c r="L13" s="25"/>
      <c r="M13" s="25"/>
      <c r="N13" s="25">
        <v>5000</v>
      </c>
      <c r="O13" s="25"/>
    </row>
    <row r="14" spans="1:15" x14ac:dyDescent="0.25">
      <c r="A14" t="s">
        <v>172</v>
      </c>
      <c r="D14" s="32"/>
      <c r="E14" s="32">
        <v>0</v>
      </c>
      <c r="G14" s="25"/>
      <c r="H14" s="25">
        <v>0</v>
      </c>
      <c r="J14" s="32"/>
      <c r="K14" s="32">
        <v>0</v>
      </c>
      <c r="L14" s="25"/>
      <c r="M14" s="25"/>
      <c r="N14" s="25">
        <v>1175</v>
      </c>
      <c r="O14" s="25"/>
    </row>
    <row r="15" spans="1:15" x14ac:dyDescent="0.25">
      <c r="A15" t="s">
        <v>152</v>
      </c>
      <c r="D15" s="32"/>
      <c r="E15" s="32">
        <v>1200</v>
      </c>
      <c r="G15" s="25"/>
      <c r="H15" s="25">
        <v>1015</v>
      </c>
      <c r="J15" s="32"/>
      <c r="K15" s="32">
        <v>1015</v>
      </c>
      <c r="L15" s="25"/>
      <c r="M15" s="25"/>
      <c r="N15" s="25">
        <v>2064</v>
      </c>
      <c r="O15" s="25"/>
    </row>
    <row r="16" spans="1:15" x14ac:dyDescent="0.25">
      <c r="A16" t="s">
        <v>200</v>
      </c>
      <c r="D16" s="32"/>
      <c r="E16" s="32">
        <v>500</v>
      </c>
      <c r="G16" s="25" t="s">
        <v>64</v>
      </c>
      <c r="H16" s="25">
        <v>550</v>
      </c>
      <c r="J16" s="32"/>
      <c r="K16" s="32">
        <v>3060</v>
      </c>
      <c r="L16" s="25"/>
      <c r="M16" s="25" t="s">
        <v>64</v>
      </c>
      <c r="N16" s="25">
        <v>4625</v>
      </c>
      <c r="O16" s="25"/>
    </row>
    <row r="17" spans="1:30" x14ac:dyDescent="0.25">
      <c r="A17" t="s">
        <v>35</v>
      </c>
      <c r="D17" s="32"/>
      <c r="E17" s="32">
        <v>325</v>
      </c>
      <c r="G17" s="25"/>
      <c r="H17" s="25">
        <v>400</v>
      </c>
      <c r="J17" s="32"/>
      <c r="K17" s="32">
        <v>250</v>
      </c>
      <c r="L17" s="25"/>
      <c r="M17" s="25"/>
      <c r="N17" s="25">
        <v>250</v>
      </c>
      <c r="O17" s="25"/>
    </row>
    <row r="18" spans="1:30" x14ac:dyDescent="0.25">
      <c r="A18" t="s">
        <v>34</v>
      </c>
      <c r="D18" s="32"/>
      <c r="E18" s="32">
        <v>700</v>
      </c>
      <c r="G18" s="25"/>
      <c r="H18" s="25">
        <v>675</v>
      </c>
      <c r="J18" s="32"/>
      <c r="K18" s="32">
        <v>0</v>
      </c>
      <c r="L18" s="25"/>
      <c r="M18" s="25"/>
      <c r="N18" s="25">
        <v>0</v>
      </c>
      <c r="O18" s="25"/>
    </row>
    <row r="19" spans="1:30" x14ac:dyDescent="0.25">
      <c r="A19" t="s">
        <v>36</v>
      </c>
      <c r="D19" s="32"/>
      <c r="E19" s="32">
        <v>500</v>
      </c>
      <c r="G19" s="25"/>
      <c r="H19" s="25">
        <v>500</v>
      </c>
      <c r="J19" s="32"/>
      <c r="K19" s="32">
        <v>500</v>
      </c>
      <c r="L19" s="25"/>
      <c r="M19" s="25"/>
      <c r="N19" s="25">
        <v>500</v>
      </c>
      <c r="O19" s="25"/>
    </row>
    <row r="20" spans="1:30" x14ac:dyDescent="0.25">
      <c r="A20" t="s">
        <v>201</v>
      </c>
      <c r="D20" s="32"/>
      <c r="E20" s="32">
        <v>150</v>
      </c>
      <c r="G20" s="25"/>
      <c r="H20" s="25">
        <v>188</v>
      </c>
      <c r="J20" s="32"/>
      <c r="K20" s="32">
        <v>1400</v>
      </c>
      <c r="L20" s="25"/>
      <c r="M20" s="25"/>
      <c r="N20" s="25">
        <f>1424</f>
        <v>1424</v>
      </c>
      <c r="O20" s="25"/>
    </row>
    <row r="21" spans="1:30" x14ac:dyDescent="0.25">
      <c r="A21" t="s">
        <v>38</v>
      </c>
      <c r="D21" s="32"/>
      <c r="E21" s="32">
        <v>35</v>
      </c>
      <c r="G21" s="25"/>
      <c r="H21" s="25">
        <v>4</v>
      </c>
      <c r="J21" s="32"/>
      <c r="K21" s="32">
        <v>5</v>
      </c>
      <c r="L21" s="25"/>
      <c r="M21" s="25"/>
      <c r="N21" s="25">
        <v>5</v>
      </c>
      <c r="O21" s="25"/>
    </row>
    <row r="22" spans="1:30" ht="15.75" x14ac:dyDescent="0.25">
      <c r="A22" s="9" t="s">
        <v>49</v>
      </c>
      <c r="D22" s="32"/>
      <c r="E22" s="34">
        <f>SUM(E7:E21)</f>
        <v>19050</v>
      </c>
      <c r="G22" s="25"/>
      <c r="H22" s="35">
        <f>SUM(H7:H21)</f>
        <v>18566</v>
      </c>
      <c r="J22" s="32"/>
      <c r="K22" s="34">
        <f>SUM(K7:K21)</f>
        <v>20880</v>
      </c>
      <c r="L22" s="25"/>
      <c r="M22" s="25"/>
      <c r="N22" s="35">
        <f>SUM(N7:N21)</f>
        <v>29741</v>
      </c>
      <c r="O22" s="25"/>
    </row>
    <row r="23" spans="1:30" x14ac:dyDescent="0.25">
      <c r="D23" s="32"/>
      <c r="E23" s="32"/>
      <c r="G23" s="25"/>
      <c r="H23" s="25"/>
      <c r="J23" s="32"/>
      <c r="K23" s="32"/>
      <c r="L23" s="25"/>
      <c r="M23" s="25"/>
      <c r="N23" s="25"/>
      <c r="O23" s="25"/>
    </row>
    <row r="24" spans="1:30" ht="18.75" x14ac:dyDescent="0.3">
      <c r="A24" s="3" t="s">
        <v>41</v>
      </c>
      <c r="D24" s="32"/>
      <c r="E24" s="32"/>
      <c r="G24" s="25"/>
      <c r="H24" s="25"/>
      <c r="J24" s="32"/>
      <c r="K24" s="32"/>
      <c r="L24" s="25"/>
      <c r="M24" s="25"/>
      <c r="N24" s="25"/>
      <c r="O24" s="25"/>
      <c r="R24" s="9"/>
      <c r="V24" s="11"/>
      <c r="W24" s="11"/>
      <c r="X24" s="11"/>
      <c r="Y24" s="11"/>
      <c r="Z24" s="21"/>
      <c r="AA24" s="11"/>
      <c r="AB24" s="11"/>
      <c r="AC24" s="56"/>
      <c r="AD24" s="60"/>
    </row>
    <row r="25" spans="1:30" x14ac:dyDescent="0.25">
      <c r="A25" s="2" t="s">
        <v>42</v>
      </c>
      <c r="D25" s="32"/>
      <c r="E25" s="32"/>
      <c r="G25" s="25"/>
      <c r="H25" s="25"/>
      <c r="J25" s="32"/>
      <c r="K25" s="32"/>
      <c r="L25" s="25"/>
      <c r="M25" s="25"/>
      <c r="N25" s="25"/>
      <c r="O25" s="25"/>
      <c r="V25" s="11"/>
      <c r="W25" s="11"/>
      <c r="X25" s="11"/>
      <c r="Y25" s="11"/>
      <c r="Z25" s="21"/>
      <c r="AA25" s="11"/>
      <c r="AB25" s="11"/>
      <c r="AC25" s="56"/>
      <c r="AD25" s="60"/>
    </row>
    <row r="26" spans="1:30" x14ac:dyDescent="0.25">
      <c r="B26" t="s">
        <v>43</v>
      </c>
      <c r="D26" s="32">
        <v>3000</v>
      </c>
      <c r="E26" s="32"/>
      <c r="G26" s="25">
        <v>2318</v>
      </c>
      <c r="H26" s="25"/>
      <c r="J26" s="32">
        <v>1100</v>
      </c>
      <c r="K26" s="32"/>
      <c r="L26" s="25"/>
      <c r="M26" s="25">
        <v>913</v>
      </c>
      <c r="N26" s="25"/>
      <c r="O26" s="25"/>
      <c r="V26" s="11"/>
      <c r="W26" s="11"/>
      <c r="Y26" s="11"/>
      <c r="Z26" s="21"/>
      <c r="AA26" s="11"/>
      <c r="AB26" s="11"/>
      <c r="AC26" s="56"/>
      <c r="AD26" s="60"/>
    </row>
    <row r="27" spans="1:30" x14ac:dyDescent="0.25">
      <c r="B27" t="s">
        <v>103</v>
      </c>
      <c r="D27" s="32"/>
      <c r="E27" s="32"/>
      <c r="G27" s="25" t="s">
        <v>203</v>
      </c>
      <c r="H27" s="25"/>
      <c r="J27" s="32"/>
      <c r="K27" s="32"/>
      <c r="L27" s="25"/>
      <c r="M27" s="25" t="s">
        <v>64</v>
      </c>
      <c r="N27" s="25"/>
      <c r="O27" s="25"/>
      <c r="V27" s="11"/>
      <c r="W27" s="11"/>
      <c r="X27" s="11"/>
      <c r="Y27" s="11"/>
      <c r="Z27" s="21"/>
      <c r="AA27" s="11"/>
      <c r="AB27" s="11"/>
      <c r="AC27" s="56"/>
      <c r="AD27" s="60"/>
    </row>
    <row r="28" spans="1:30" x14ac:dyDescent="0.25">
      <c r="B28" t="s">
        <v>104</v>
      </c>
      <c r="D28" s="32">
        <v>500</v>
      </c>
      <c r="E28" s="32"/>
      <c r="G28" s="25">
        <f>352+151</f>
        <v>503</v>
      </c>
      <c r="H28" s="25"/>
      <c r="J28" s="32">
        <v>750</v>
      </c>
      <c r="K28" s="32"/>
      <c r="L28" s="25"/>
      <c r="M28" s="25">
        <f>82+445</f>
        <v>527</v>
      </c>
      <c r="N28" s="25"/>
      <c r="O28" s="25"/>
      <c r="V28" s="11"/>
      <c r="W28" s="11"/>
      <c r="X28" s="11"/>
      <c r="Y28" s="11"/>
      <c r="Z28" s="21"/>
      <c r="AA28" s="11"/>
      <c r="AB28" s="11"/>
      <c r="AC28" s="56"/>
      <c r="AD28" s="60"/>
    </row>
    <row r="29" spans="1:30" x14ac:dyDescent="0.25">
      <c r="B29" t="s">
        <v>45</v>
      </c>
      <c r="D29" s="32">
        <v>650</v>
      </c>
      <c r="E29" s="32"/>
      <c r="G29" s="25">
        <v>636</v>
      </c>
      <c r="H29" s="25"/>
      <c r="J29" s="32">
        <v>600</v>
      </c>
      <c r="K29" s="32"/>
      <c r="L29" s="25"/>
      <c r="M29" s="25">
        <v>602</v>
      </c>
      <c r="N29" s="25"/>
      <c r="O29" s="25"/>
      <c r="V29" s="11"/>
      <c r="W29" s="11"/>
      <c r="X29" s="11"/>
      <c r="Y29" s="11"/>
      <c r="Z29" s="21"/>
      <c r="AA29" s="11"/>
      <c r="AB29" s="11"/>
      <c r="AC29" s="56"/>
      <c r="AD29" s="60"/>
    </row>
    <row r="30" spans="1:30" x14ac:dyDescent="0.25">
      <c r="B30" t="s">
        <v>46</v>
      </c>
      <c r="D30" s="32">
        <v>650</v>
      </c>
      <c r="E30" s="32"/>
      <c r="G30" s="25">
        <v>600</v>
      </c>
      <c r="H30" s="25"/>
      <c r="J30" s="32">
        <v>650</v>
      </c>
      <c r="K30" s="32"/>
      <c r="L30" s="25"/>
      <c r="M30" s="25">
        <v>629</v>
      </c>
      <c r="N30" s="25"/>
      <c r="O30" s="25"/>
      <c r="V30" s="11"/>
      <c r="W30" s="11"/>
      <c r="X30" s="11"/>
      <c r="Y30" s="11"/>
      <c r="Z30" s="21"/>
      <c r="AA30" s="11"/>
      <c r="AB30" s="11"/>
      <c r="AC30" s="56"/>
      <c r="AD30" s="60"/>
    </row>
    <row r="31" spans="1:30" x14ac:dyDescent="0.25">
      <c r="B31" t="s">
        <v>47</v>
      </c>
      <c r="D31" s="32">
        <v>1200</v>
      </c>
      <c r="E31" s="32"/>
      <c r="G31" s="25">
        <v>1187</v>
      </c>
      <c r="H31" s="25"/>
      <c r="J31" s="32">
        <v>1150</v>
      </c>
      <c r="K31" s="32"/>
      <c r="L31" s="25"/>
      <c r="M31" s="25">
        <v>1136</v>
      </c>
      <c r="N31" s="25"/>
      <c r="O31" s="25"/>
      <c r="V31" s="11"/>
      <c r="W31" s="11"/>
      <c r="X31" s="11"/>
      <c r="Y31" s="11"/>
      <c r="Z31" s="21"/>
      <c r="AA31" s="11"/>
      <c r="AB31" s="11"/>
      <c r="AC31" s="56"/>
      <c r="AD31" s="60"/>
    </row>
    <row r="32" spans="1:30" x14ac:dyDescent="0.25">
      <c r="B32" s="45" t="s">
        <v>163</v>
      </c>
      <c r="C32" s="45"/>
      <c r="D32" s="51">
        <v>2015</v>
      </c>
      <c r="E32" s="32"/>
      <c r="G32" s="51">
        <v>1081</v>
      </c>
      <c r="H32" s="25"/>
      <c r="J32" s="51">
        <v>3515</v>
      </c>
      <c r="K32" s="32"/>
      <c r="L32" s="25"/>
      <c r="M32" s="28">
        <v>2881</v>
      </c>
      <c r="N32" s="25"/>
      <c r="O32" s="25"/>
      <c r="V32" s="11"/>
      <c r="W32" s="11"/>
      <c r="X32" s="11"/>
      <c r="Y32" s="11"/>
      <c r="Z32" s="21"/>
      <c r="AA32" s="11"/>
      <c r="AB32" s="11"/>
      <c r="AC32" s="56"/>
      <c r="AD32" s="60"/>
    </row>
    <row r="33" spans="1:30" x14ac:dyDescent="0.25">
      <c r="D33" s="32"/>
      <c r="E33" s="32">
        <f>SUM(D26:D32)</f>
        <v>8015</v>
      </c>
      <c r="G33" s="25"/>
      <c r="H33" s="25">
        <f>SUM(G26:G32)</f>
        <v>6325</v>
      </c>
      <c r="J33" s="32"/>
      <c r="K33" s="32">
        <f>SUM(J26:J32)</f>
        <v>7765</v>
      </c>
      <c r="L33" s="25"/>
      <c r="M33" s="25"/>
      <c r="N33" s="25">
        <f>SUM(M26:M32)</f>
        <v>6688</v>
      </c>
      <c r="O33" s="25"/>
      <c r="V33" s="11"/>
      <c r="W33" s="11"/>
      <c r="X33" s="11"/>
      <c r="Y33" s="11"/>
      <c r="Z33" s="21"/>
      <c r="AA33" s="11"/>
      <c r="AB33" s="11"/>
      <c r="AC33" s="56"/>
      <c r="AD33" s="60"/>
    </row>
    <row r="34" spans="1:30" ht="15.75" x14ac:dyDescent="0.25">
      <c r="A34" s="9" t="s">
        <v>50</v>
      </c>
      <c r="D34" s="32"/>
      <c r="E34" s="32"/>
      <c r="G34" s="25"/>
      <c r="H34" s="25"/>
      <c r="J34" s="32"/>
      <c r="K34" s="32"/>
      <c r="L34" s="25"/>
      <c r="M34" s="25"/>
      <c r="N34" s="25"/>
      <c r="O34" s="25"/>
      <c r="V34" s="11"/>
      <c r="W34" s="11"/>
      <c r="X34" s="11"/>
      <c r="Y34" s="11"/>
      <c r="Z34" s="21"/>
      <c r="AA34" s="11"/>
      <c r="AB34" s="11"/>
      <c r="AC34" s="56"/>
      <c r="AD34" s="60"/>
    </row>
    <row r="35" spans="1:30" ht="15.75" x14ac:dyDescent="0.25">
      <c r="B35" t="s">
        <v>51</v>
      </c>
      <c r="D35" s="32">
        <v>7100</v>
      </c>
      <c r="E35" s="32"/>
      <c r="G35" s="25">
        <v>9917</v>
      </c>
      <c r="H35" s="25"/>
      <c r="J35" s="32">
        <v>7000</v>
      </c>
      <c r="K35" s="32"/>
      <c r="L35" s="25"/>
      <c r="M35" s="25">
        <f>5295+1469</f>
        <v>6764</v>
      </c>
      <c r="N35" s="25"/>
      <c r="O35" s="25"/>
      <c r="R35" s="9"/>
      <c r="V35" s="11"/>
      <c r="W35" s="11"/>
      <c r="X35" s="11"/>
      <c r="Y35" s="11"/>
      <c r="Z35" s="21"/>
      <c r="AA35" s="11"/>
      <c r="AB35" s="11"/>
      <c r="AC35" s="56"/>
      <c r="AD35" s="60"/>
    </row>
    <row r="36" spans="1:30" x14ac:dyDescent="0.25">
      <c r="B36" t="s">
        <v>52</v>
      </c>
      <c r="D36" s="32">
        <v>400</v>
      </c>
      <c r="E36" s="32"/>
      <c r="G36" s="25">
        <v>393</v>
      </c>
      <c r="H36" s="25"/>
      <c r="J36" s="32">
        <v>500</v>
      </c>
      <c r="K36" s="32"/>
      <c r="L36" s="25"/>
      <c r="M36" s="25">
        <v>160</v>
      </c>
      <c r="N36" s="25"/>
      <c r="O36" s="25"/>
      <c r="V36" s="11"/>
      <c r="W36" s="11"/>
      <c r="X36" s="11"/>
      <c r="Y36" s="11"/>
      <c r="Z36" s="21"/>
      <c r="AA36" s="11"/>
      <c r="AB36" s="11"/>
      <c r="AC36" s="56"/>
      <c r="AD36" s="60"/>
    </row>
    <row r="37" spans="1:30" x14ac:dyDescent="0.25">
      <c r="B37" t="s">
        <v>53</v>
      </c>
      <c r="D37" s="32">
        <v>500</v>
      </c>
      <c r="E37" s="32"/>
      <c r="G37" s="25">
        <v>541</v>
      </c>
      <c r="H37" s="25"/>
      <c r="J37" s="32">
        <v>500</v>
      </c>
      <c r="K37" s="32"/>
      <c r="L37" s="25"/>
      <c r="M37" s="25">
        <v>677</v>
      </c>
      <c r="N37" s="25"/>
      <c r="O37" s="25"/>
      <c r="V37" s="11"/>
      <c r="W37" s="11"/>
      <c r="X37" s="11"/>
      <c r="Y37" s="11"/>
      <c r="Z37" s="21"/>
      <c r="AA37" s="11"/>
      <c r="AB37" s="11"/>
      <c r="AC37" s="56"/>
      <c r="AD37" s="60"/>
    </row>
    <row r="38" spans="1:30" x14ac:dyDescent="0.25">
      <c r="B38" t="s">
        <v>184</v>
      </c>
      <c r="D38" s="32">
        <v>800</v>
      </c>
      <c r="E38" s="32"/>
      <c r="G38" s="25">
        <v>1450</v>
      </c>
      <c r="H38" s="25"/>
      <c r="J38" s="32">
        <v>2450</v>
      </c>
      <c r="K38" s="32"/>
      <c r="L38" s="25"/>
      <c r="M38" s="25">
        <v>6826</v>
      </c>
      <c r="N38" s="25"/>
      <c r="O38" s="25"/>
      <c r="V38" s="11"/>
      <c r="W38" s="11"/>
      <c r="X38" s="11"/>
      <c r="Y38" s="11"/>
      <c r="Z38" s="21"/>
      <c r="AA38" s="11"/>
      <c r="AB38" s="11"/>
      <c r="AC38" s="56"/>
      <c r="AD38" s="60"/>
    </row>
    <row r="39" spans="1:30" x14ac:dyDescent="0.25">
      <c r="B39" t="s">
        <v>231</v>
      </c>
      <c r="D39" s="32">
        <v>395</v>
      </c>
      <c r="E39" s="32"/>
      <c r="G39" s="25">
        <v>530</v>
      </c>
      <c r="H39" s="25"/>
      <c r="J39" s="32">
        <v>0</v>
      </c>
      <c r="K39" s="32"/>
      <c r="L39" s="25"/>
      <c r="M39" s="25">
        <v>912</v>
      </c>
      <c r="N39" s="25"/>
      <c r="O39" s="25"/>
      <c r="V39" s="11"/>
      <c r="W39" s="11"/>
      <c r="X39" s="11"/>
      <c r="Y39" s="11"/>
      <c r="Z39" s="21"/>
      <c r="AA39" s="11"/>
      <c r="AB39" s="11"/>
      <c r="AC39" s="56"/>
      <c r="AD39" s="60"/>
    </row>
    <row r="40" spans="1:30" x14ac:dyDescent="0.25">
      <c r="B40" t="s">
        <v>166</v>
      </c>
      <c r="D40" s="32">
        <v>0</v>
      </c>
      <c r="E40" s="32"/>
      <c r="G40" s="25">
        <v>0</v>
      </c>
      <c r="H40" s="25"/>
      <c r="J40" s="32">
        <v>400</v>
      </c>
      <c r="K40" s="32"/>
      <c r="L40" s="25"/>
      <c r="M40" s="25">
        <v>216</v>
      </c>
      <c r="N40" s="25"/>
      <c r="O40" s="25"/>
    </row>
    <row r="41" spans="1:30" x14ac:dyDescent="0.25">
      <c r="B41" t="s">
        <v>54</v>
      </c>
      <c r="D41" s="32">
        <v>350</v>
      </c>
      <c r="E41" s="32"/>
      <c r="G41" s="25">
        <v>582</v>
      </c>
      <c r="H41" s="25"/>
      <c r="J41" s="32">
        <v>100</v>
      </c>
      <c r="K41" s="32"/>
      <c r="L41" s="25"/>
      <c r="M41" s="25">
        <v>49</v>
      </c>
      <c r="N41" s="25"/>
      <c r="O41" s="25"/>
    </row>
    <row r="42" spans="1:30" x14ac:dyDescent="0.25">
      <c r="B42" t="s">
        <v>34</v>
      </c>
      <c r="D42" s="32">
        <v>60</v>
      </c>
      <c r="E42" s="32"/>
      <c r="G42" s="25">
        <v>57</v>
      </c>
      <c r="H42" s="25"/>
      <c r="J42" s="32">
        <v>0</v>
      </c>
      <c r="K42" s="32"/>
      <c r="L42" s="25"/>
      <c r="M42" s="25">
        <v>0</v>
      </c>
      <c r="N42" s="25"/>
      <c r="O42" s="25"/>
    </row>
    <row r="43" spans="1:30" x14ac:dyDescent="0.25">
      <c r="B43" t="s">
        <v>36</v>
      </c>
      <c r="D43" s="33">
        <v>100</v>
      </c>
      <c r="E43" s="32"/>
      <c r="G43" s="28">
        <v>99</v>
      </c>
      <c r="H43" s="25"/>
      <c r="J43" s="33">
        <v>50</v>
      </c>
      <c r="K43" s="32"/>
      <c r="L43" s="25"/>
      <c r="M43" s="28">
        <v>38</v>
      </c>
      <c r="N43" s="25"/>
      <c r="O43" s="25"/>
    </row>
    <row r="44" spans="1:30" x14ac:dyDescent="0.25">
      <c r="D44" s="32"/>
      <c r="E44" s="32">
        <f>SUM(D35:D43)</f>
        <v>9705</v>
      </c>
      <c r="G44" s="25"/>
      <c r="H44" s="25">
        <f>SUM(G35:G43)</f>
        <v>13569</v>
      </c>
      <c r="J44" s="32"/>
      <c r="K44" s="32">
        <f>SUM(J35:J43)</f>
        <v>11000</v>
      </c>
      <c r="L44" s="25"/>
      <c r="M44" s="25"/>
      <c r="N44" s="25">
        <f>SUM(M35:M43)</f>
        <v>15642</v>
      </c>
      <c r="O44" s="25"/>
    </row>
    <row r="45" spans="1:30" ht="15.75" x14ac:dyDescent="0.25">
      <c r="A45" s="9" t="s">
        <v>55</v>
      </c>
      <c r="D45" s="32"/>
      <c r="E45" s="32"/>
      <c r="G45" s="25"/>
      <c r="H45" s="25"/>
      <c r="J45" s="32"/>
      <c r="K45" s="32"/>
      <c r="L45" s="25"/>
      <c r="M45" s="25"/>
      <c r="N45" s="25"/>
      <c r="O45" s="25"/>
    </row>
    <row r="46" spans="1:30" x14ac:dyDescent="0.25">
      <c r="B46" t="s">
        <v>56</v>
      </c>
      <c r="D46" s="32">
        <v>150</v>
      </c>
      <c r="E46" s="32"/>
      <c r="G46" s="25">
        <v>69</v>
      </c>
      <c r="H46" s="25"/>
      <c r="J46" s="32">
        <v>550</v>
      </c>
      <c r="K46" s="32"/>
      <c r="L46" s="25"/>
      <c r="M46" s="25">
        <v>535</v>
      </c>
      <c r="N46" s="25"/>
      <c r="O46" s="25"/>
    </row>
    <row r="47" spans="1:30" x14ac:dyDescent="0.25">
      <c r="B47" t="s">
        <v>169</v>
      </c>
      <c r="D47" s="32">
        <v>0</v>
      </c>
      <c r="E47" s="32"/>
      <c r="G47" s="25">
        <v>0</v>
      </c>
      <c r="H47" s="25"/>
      <c r="J47" s="32">
        <v>0</v>
      </c>
      <c r="K47" s="32"/>
      <c r="L47" s="25"/>
      <c r="M47" s="25">
        <v>898</v>
      </c>
      <c r="N47" s="25"/>
      <c r="O47" s="25"/>
    </row>
    <row r="48" spans="1:30" x14ac:dyDescent="0.25">
      <c r="B48" t="s">
        <v>121</v>
      </c>
      <c r="D48" s="32">
        <v>650</v>
      </c>
      <c r="E48" s="32"/>
      <c r="G48" s="25">
        <v>852</v>
      </c>
      <c r="H48" s="25"/>
      <c r="J48" s="32">
        <v>400</v>
      </c>
      <c r="K48" s="32"/>
      <c r="L48" s="25"/>
      <c r="M48" s="25">
        <v>543</v>
      </c>
      <c r="N48" s="25"/>
      <c r="O48" s="25"/>
    </row>
    <row r="49" spans="1:15" x14ac:dyDescent="0.25">
      <c r="B49" t="s">
        <v>59</v>
      </c>
      <c r="D49" s="33">
        <v>530</v>
      </c>
      <c r="E49" s="32"/>
      <c r="G49" s="28">
        <v>508</v>
      </c>
      <c r="H49" s="25"/>
      <c r="J49" s="33">
        <v>500</v>
      </c>
      <c r="K49" s="32"/>
      <c r="L49" s="25"/>
      <c r="M49" s="28">
        <v>472</v>
      </c>
      <c r="N49" s="25"/>
      <c r="O49" s="25"/>
    </row>
    <row r="50" spans="1:15" x14ac:dyDescent="0.25">
      <c r="D50" s="32"/>
      <c r="E50" s="33">
        <f>SUM(D46:D49)</f>
        <v>1330</v>
      </c>
      <c r="G50" s="25"/>
      <c r="H50" s="28">
        <f>SUM(G46:G49)</f>
        <v>1429</v>
      </c>
      <c r="J50" s="32"/>
      <c r="K50" s="33">
        <f>SUM(J46:J49)</f>
        <v>1450</v>
      </c>
      <c r="L50" s="25"/>
      <c r="M50" s="25"/>
      <c r="N50" s="28">
        <f>SUM(M46:M49)</f>
        <v>2448</v>
      </c>
      <c r="O50" s="25"/>
    </row>
    <row r="51" spans="1:15" ht="15.75" x14ac:dyDescent="0.25">
      <c r="A51" s="9" t="s">
        <v>60</v>
      </c>
      <c r="D51" s="32"/>
      <c r="E51" s="34">
        <f>SUM(E24:E50)</f>
        <v>19050</v>
      </c>
      <c r="G51" s="25"/>
      <c r="H51" s="35">
        <f>SUM(H24:H50)</f>
        <v>21323</v>
      </c>
      <c r="J51" s="32"/>
      <c r="K51" s="34">
        <f>SUM(K24:K50)</f>
        <v>20215</v>
      </c>
      <c r="L51" s="25"/>
      <c r="M51" s="25"/>
      <c r="N51" s="35">
        <f>SUM(N24:N50)</f>
        <v>24778</v>
      </c>
      <c r="O51" s="25"/>
    </row>
    <row r="52" spans="1:15" x14ac:dyDescent="0.25">
      <c r="D52" s="32"/>
      <c r="E52" s="32"/>
      <c r="G52" s="25"/>
      <c r="H52" s="25"/>
      <c r="J52" s="32"/>
      <c r="K52" s="32"/>
      <c r="L52" s="25"/>
      <c r="M52" s="25"/>
      <c r="N52" s="25"/>
      <c r="O52" s="25"/>
    </row>
    <row r="53" spans="1:15" ht="15.75" thickBot="1" x14ac:dyDescent="0.3">
      <c r="A53" t="s">
        <v>61</v>
      </c>
      <c r="D53" s="32"/>
      <c r="E53" s="36">
        <f>E22-E51</f>
        <v>0</v>
      </c>
      <c r="G53" s="25"/>
      <c r="H53" s="37">
        <f>H22-H51</f>
        <v>-2757</v>
      </c>
      <c r="J53" s="32"/>
      <c r="K53" s="36">
        <f>K22-K51</f>
        <v>665</v>
      </c>
      <c r="L53" s="25"/>
      <c r="M53" s="25"/>
      <c r="N53" s="37">
        <f>N22-N51</f>
        <v>4963</v>
      </c>
      <c r="O53" s="25"/>
    </row>
    <row r="54" spans="1:15" ht="15.75" thickTop="1" x14ac:dyDescent="0.25"/>
    <row r="55" spans="1:15" x14ac:dyDescent="0.25">
      <c r="A55" s="44" t="s">
        <v>163</v>
      </c>
      <c r="B55" s="44"/>
      <c r="C55" s="44"/>
      <c r="D55" s="44"/>
      <c r="E55" s="53"/>
      <c r="F55" s="44" t="s">
        <v>163</v>
      </c>
      <c r="G55" s="45"/>
      <c r="H55" s="45"/>
      <c r="K55" s="44" t="s">
        <v>163</v>
      </c>
      <c r="L55" s="44"/>
      <c r="M55" s="44"/>
      <c r="N55" s="44"/>
    </row>
    <row r="56" spans="1:15" x14ac:dyDescent="0.25">
      <c r="A56" s="45" t="s">
        <v>149</v>
      </c>
      <c r="B56" s="45"/>
      <c r="C56" s="45"/>
      <c r="D56" s="46" t="s">
        <v>65</v>
      </c>
      <c r="F56" s="45" t="s">
        <v>224</v>
      </c>
      <c r="G56" s="45"/>
      <c r="H56" s="45">
        <v>562</v>
      </c>
      <c r="K56" s="45" t="s">
        <v>149</v>
      </c>
      <c r="L56" s="45"/>
      <c r="M56" s="45"/>
      <c r="N56" s="46">
        <v>2500</v>
      </c>
    </row>
    <row r="57" spans="1:15" x14ac:dyDescent="0.25">
      <c r="A57" s="45" t="s">
        <v>180</v>
      </c>
      <c r="B57" s="45"/>
      <c r="C57" s="45"/>
      <c r="D57" s="46">
        <v>1015</v>
      </c>
      <c r="F57" s="45" t="s">
        <v>220</v>
      </c>
      <c r="G57" s="45"/>
      <c r="H57" s="45">
        <v>79</v>
      </c>
      <c r="K57" s="45" t="s">
        <v>180</v>
      </c>
      <c r="L57" s="45"/>
      <c r="M57" s="45"/>
      <c r="N57" s="46">
        <v>1015</v>
      </c>
    </row>
    <row r="58" spans="1:15" x14ac:dyDescent="0.25">
      <c r="A58" s="45" t="s">
        <v>206</v>
      </c>
      <c r="B58" s="45"/>
      <c r="C58" s="45"/>
      <c r="D58" s="46">
        <v>1000</v>
      </c>
      <c r="F58" s="45" t="s">
        <v>228</v>
      </c>
      <c r="G58" s="45"/>
      <c r="H58" s="45">
        <v>261</v>
      </c>
      <c r="K58" s="45" t="s">
        <v>168</v>
      </c>
      <c r="L58" s="45"/>
      <c r="M58" s="45"/>
      <c r="N58" s="45">
        <v>0</v>
      </c>
    </row>
    <row r="59" spans="1:15" ht="15.75" thickBot="1" x14ac:dyDescent="0.3">
      <c r="A59" s="45"/>
      <c r="B59" s="45"/>
      <c r="C59" s="45"/>
      <c r="D59" s="47">
        <f>SUM(D56:D58)</f>
        <v>2015</v>
      </c>
      <c r="F59" s="45" t="s">
        <v>229</v>
      </c>
      <c r="G59" s="45"/>
      <c r="H59" s="45">
        <v>179</v>
      </c>
      <c r="K59" s="45"/>
      <c r="L59" s="45"/>
      <c r="M59" s="45"/>
      <c r="N59" s="47">
        <f>SUM(N56:N58)</f>
        <v>3515</v>
      </c>
    </row>
    <row r="60" spans="1:15" ht="16.5" thickTop="1" thickBot="1" x14ac:dyDescent="0.3">
      <c r="F60" s="45"/>
      <c r="G60" s="45"/>
      <c r="H60" s="65">
        <f>SUM(H56:H59)</f>
        <v>1081</v>
      </c>
    </row>
    <row r="61" spans="1:15" ht="15.7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014F-39C6-4219-9A29-D223C1D079EB}">
  <dimension ref="A1:H34"/>
  <sheetViews>
    <sheetView topLeftCell="A3" workbookViewId="0">
      <selection activeCell="A3" sqref="A1:XFD1048576"/>
    </sheetView>
  </sheetViews>
  <sheetFormatPr defaultRowHeight="15" x14ac:dyDescent="0.25"/>
  <cols>
    <col min="1" max="1" width="2" customWidth="1"/>
    <col min="2" max="2" width="36.5703125" customWidth="1"/>
    <col min="3" max="3" width="14.5703125" customWidth="1"/>
    <col min="4" max="4" width="13" customWidth="1"/>
    <col min="5" max="5" width="2" customWidth="1"/>
    <col min="6" max="6" width="14.5703125" customWidth="1"/>
    <col min="7" max="7" width="13" customWidth="1"/>
    <col min="8" max="8" width="2.140625" customWidth="1"/>
  </cols>
  <sheetData>
    <row r="1" spans="1:8" ht="21" x14ac:dyDescent="0.35">
      <c r="A1" s="7" t="s">
        <v>0</v>
      </c>
      <c r="B1" s="7"/>
      <c r="C1" s="7"/>
      <c r="D1" s="7"/>
      <c r="E1" s="7"/>
      <c r="F1" s="7"/>
      <c r="G1" s="7"/>
      <c r="H1" s="7"/>
    </row>
    <row r="3" spans="1:8" ht="21" x14ac:dyDescent="0.35">
      <c r="A3" s="8" t="s">
        <v>1</v>
      </c>
    </row>
    <row r="4" spans="1:8" x14ac:dyDescent="0.25">
      <c r="D4" s="49">
        <v>44926</v>
      </c>
      <c r="G4" s="49">
        <v>44561</v>
      </c>
    </row>
    <row r="5" spans="1:8" ht="18.75" x14ac:dyDescent="0.3">
      <c r="B5" s="3" t="s">
        <v>2</v>
      </c>
      <c r="D5" s="4" t="s">
        <v>9</v>
      </c>
      <c r="E5" s="3"/>
      <c r="G5" s="4" t="s">
        <v>9</v>
      </c>
      <c r="H5" s="3"/>
    </row>
    <row r="6" spans="1:8" x14ac:dyDescent="0.25">
      <c r="A6" s="2" t="s">
        <v>12</v>
      </c>
      <c r="C6" s="25"/>
      <c r="D6" s="25"/>
      <c r="F6" s="25"/>
      <c r="G6" s="25"/>
    </row>
    <row r="7" spans="1:8" x14ac:dyDescent="0.25">
      <c r="B7" t="s">
        <v>13</v>
      </c>
      <c r="C7" s="25"/>
      <c r="D7" s="26" t="s">
        <v>11</v>
      </c>
      <c r="F7" s="25"/>
      <c r="G7" s="26" t="s">
        <v>11</v>
      </c>
    </row>
    <row r="8" spans="1:8" x14ac:dyDescent="0.25">
      <c r="C8" s="25"/>
      <c r="D8" s="25"/>
      <c r="F8" s="25"/>
      <c r="G8" s="25"/>
    </row>
    <row r="9" spans="1:8" x14ac:dyDescent="0.25">
      <c r="A9" s="2" t="s">
        <v>3</v>
      </c>
      <c r="C9" s="25"/>
      <c r="D9" s="25"/>
      <c r="F9" s="25"/>
      <c r="G9" s="25"/>
    </row>
    <row r="10" spans="1:8" x14ac:dyDescent="0.25">
      <c r="B10" t="s">
        <v>21</v>
      </c>
      <c r="C10" s="25"/>
      <c r="D10" s="25"/>
      <c r="F10" s="25"/>
      <c r="G10" s="25"/>
    </row>
    <row r="11" spans="1:8" x14ac:dyDescent="0.25">
      <c r="B11" t="s">
        <v>19</v>
      </c>
      <c r="C11" s="25">
        <v>73</v>
      </c>
      <c r="D11" s="25"/>
      <c r="F11" s="25">
        <v>24</v>
      </c>
      <c r="G11" s="25"/>
    </row>
    <row r="12" spans="1:8" x14ac:dyDescent="0.25">
      <c r="B12" s="6" t="s">
        <v>20</v>
      </c>
      <c r="C12">
        <v>395</v>
      </c>
      <c r="F12">
        <v>900</v>
      </c>
    </row>
    <row r="13" spans="1:8" x14ac:dyDescent="0.25">
      <c r="B13" s="6" t="s">
        <v>178</v>
      </c>
      <c r="C13">
        <v>100</v>
      </c>
      <c r="F13">
        <v>125</v>
      </c>
    </row>
    <row r="14" spans="1:8" x14ac:dyDescent="0.25">
      <c r="B14" t="s">
        <v>155</v>
      </c>
      <c r="C14" s="28">
        <v>1000</v>
      </c>
      <c r="F14" s="28">
        <v>2450</v>
      </c>
    </row>
    <row r="15" spans="1:8" x14ac:dyDescent="0.25">
      <c r="C15" s="25"/>
      <c r="D15" s="25">
        <f>SUM(C10:C14)</f>
        <v>1568</v>
      </c>
      <c r="F15" s="25"/>
      <c r="G15" s="25">
        <f>SUM(F10:F14)</f>
        <v>3499</v>
      </c>
    </row>
    <row r="16" spans="1:8" x14ac:dyDescent="0.25">
      <c r="A16" s="2" t="s">
        <v>5</v>
      </c>
      <c r="B16" s="2"/>
      <c r="C16" s="29"/>
      <c r="D16" s="29"/>
      <c r="E16" s="2"/>
      <c r="F16" s="29"/>
      <c r="G16" s="29"/>
      <c r="H16" s="6"/>
    </row>
    <row r="17" spans="1:8" x14ac:dyDescent="0.25">
      <c r="B17" t="s">
        <v>6</v>
      </c>
      <c r="C17" s="25">
        <v>248</v>
      </c>
      <c r="D17" s="25"/>
      <c r="F17" s="25">
        <v>1194</v>
      </c>
      <c r="G17" s="25"/>
    </row>
    <row r="18" spans="1:8" x14ac:dyDescent="0.25">
      <c r="B18" t="s">
        <v>7</v>
      </c>
      <c r="C18" s="25">
        <v>46978</v>
      </c>
      <c r="D18" s="25"/>
      <c r="F18" s="25">
        <v>46715</v>
      </c>
      <c r="G18" s="25"/>
      <c r="H18" s="2"/>
    </row>
    <row r="19" spans="1:8" x14ac:dyDescent="0.25">
      <c r="B19" t="s">
        <v>8</v>
      </c>
      <c r="C19" s="28">
        <v>166</v>
      </c>
      <c r="D19" s="25"/>
      <c r="F19" s="28">
        <v>187</v>
      </c>
      <c r="G19" s="25"/>
    </row>
    <row r="20" spans="1:8" x14ac:dyDescent="0.25">
      <c r="C20" s="25"/>
      <c r="D20" s="25">
        <f>SUM(C17:C19)</f>
        <v>47392</v>
      </c>
      <c r="F20" s="25"/>
      <c r="G20" s="25">
        <f>SUM(F17:F19)</f>
        <v>48096</v>
      </c>
    </row>
    <row r="21" spans="1:8" ht="15.75" thickBot="1" x14ac:dyDescent="0.3">
      <c r="C21" s="25"/>
      <c r="D21" s="30">
        <f>SUM(D8:D20)</f>
        <v>48960</v>
      </c>
      <c r="F21" s="25"/>
      <c r="G21" s="30">
        <f>SUM(G8:G20)</f>
        <v>51595</v>
      </c>
    </row>
    <row r="22" spans="1:8" ht="19.5" thickTop="1" x14ac:dyDescent="0.3">
      <c r="B22" s="3" t="s">
        <v>14</v>
      </c>
      <c r="C22" s="25"/>
      <c r="D22" s="25"/>
      <c r="E22" s="3"/>
      <c r="F22" s="25"/>
      <c r="G22" s="25"/>
    </row>
    <row r="23" spans="1:8" x14ac:dyDescent="0.25">
      <c r="A23" s="2" t="s">
        <v>15</v>
      </c>
      <c r="C23" s="25"/>
      <c r="D23" s="25"/>
      <c r="F23" s="25"/>
      <c r="G23" s="25"/>
    </row>
    <row r="24" spans="1:8" ht="18.75" x14ac:dyDescent="0.3">
      <c r="B24" t="s">
        <v>16</v>
      </c>
      <c r="C24" s="25"/>
      <c r="D24" s="25">
        <v>50036</v>
      </c>
      <c r="F24" s="25"/>
      <c r="G24" s="25">
        <v>45073</v>
      </c>
      <c r="H24" s="3"/>
    </row>
    <row r="25" spans="1:8" x14ac:dyDescent="0.25">
      <c r="B25" t="s">
        <v>17</v>
      </c>
      <c r="C25" s="25"/>
      <c r="D25" s="28">
        <f>-1257-1500</f>
        <v>-2757</v>
      </c>
      <c r="F25" s="25"/>
      <c r="G25" s="28">
        <f>4963</f>
        <v>4963</v>
      </c>
    </row>
    <row r="26" spans="1:8" x14ac:dyDescent="0.25">
      <c r="C26" s="25"/>
      <c r="D26" s="25">
        <f>SUM(D24:D25)</f>
        <v>47279</v>
      </c>
      <c r="F26" s="25"/>
      <c r="G26" s="25">
        <f>SUM(G24:G25)</f>
        <v>50036</v>
      </c>
    </row>
    <row r="27" spans="1:8" x14ac:dyDescent="0.25">
      <c r="A27" s="2" t="s">
        <v>18</v>
      </c>
      <c r="B27" s="2"/>
      <c r="C27" s="29"/>
      <c r="D27" s="29"/>
      <c r="E27" s="2"/>
      <c r="F27" s="29"/>
      <c r="G27" s="29"/>
    </row>
    <row r="28" spans="1:8" x14ac:dyDescent="0.25">
      <c r="B28" t="s">
        <v>192</v>
      </c>
      <c r="C28" s="25">
        <v>1500</v>
      </c>
      <c r="D28" s="25"/>
      <c r="F28" s="25">
        <v>1015</v>
      </c>
      <c r="G28" s="25"/>
    </row>
    <row r="29" spans="1:8" x14ac:dyDescent="0.25">
      <c r="B29" t="s">
        <v>23</v>
      </c>
      <c r="C29" s="25">
        <v>0</v>
      </c>
      <c r="D29" s="25"/>
      <c r="F29" s="25">
        <v>500</v>
      </c>
      <c r="G29" s="25"/>
      <c r="H29" s="2"/>
    </row>
    <row r="30" spans="1:8" x14ac:dyDescent="0.25">
      <c r="B30" t="s">
        <v>24</v>
      </c>
      <c r="C30" s="25">
        <v>81</v>
      </c>
      <c r="D30" s="25"/>
      <c r="F30" s="25">
        <v>44</v>
      </c>
      <c r="G30" s="25"/>
    </row>
    <row r="31" spans="1:8" x14ac:dyDescent="0.25">
      <c r="B31" t="s">
        <v>226</v>
      </c>
      <c r="C31" s="28">
        <v>100</v>
      </c>
      <c r="F31" s="28">
        <v>0</v>
      </c>
    </row>
    <row r="32" spans="1:8" x14ac:dyDescent="0.25">
      <c r="C32" s="25"/>
      <c r="D32" s="25">
        <f>SUM(C28:C31)</f>
        <v>1681</v>
      </c>
      <c r="F32" s="25"/>
      <c r="G32" s="25">
        <f>SUM(F28:F31)</f>
        <v>1559</v>
      </c>
    </row>
    <row r="33" spans="3:7" ht="15.75" thickBot="1" x14ac:dyDescent="0.3">
      <c r="C33" s="25"/>
      <c r="D33" s="30">
        <f>SUM(D26:D32)</f>
        <v>48960</v>
      </c>
      <c r="F33" s="25"/>
      <c r="G33" s="30">
        <f>SUM(G26:G32)</f>
        <v>51595</v>
      </c>
    </row>
    <row r="34" spans="3:7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25C5-FF11-4795-97D6-B48D7A4FDC64}">
  <dimension ref="B1:P105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P8" sqref="P8"/>
    </sheetView>
  </sheetViews>
  <sheetFormatPr defaultRowHeight="15" x14ac:dyDescent="0.25"/>
  <cols>
    <col min="2" max="2" width="1.5703125" customWidth="1"/>
    <col min="5" max="5" width="24.28515625" customWidth="1"/>
    <col min="6" max="6" width="13.140625" customWidth="1"/>
    <col min="7" max="7" width="9.28515625" bestFit="1" customWidth="1"/>
    <col min="8" max="9" width="11.5703125" customWidth="1"/>
    <col min="10" max="10" width="4.42578125" style="21" customWidth="1"/>
    <col min="11" max="11" width="10.5703125" customWidth="1"/>
    <col min="12" max="12" width="10.5703125" bestFit="1" customWidth="1"/>
    <col min="13" max="13" width="3" style="39" customWidth="1"/>
    <col min="14" max="14" width="13.28515625" style="4" customWidth="1"/>
  </cols>
  <sheetData>
    <row r="1" spans="2:16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 s="4" t="s">
        <v>63</v>
      </c>
    </row>
    <row r="2" spans="2:16" x14ac:dyDescent="0.25">
      <c r="F2" s="1">
        <v>44562</v>
      </c>
      <c r="G2" s="5"/>
      <c r="H2" s="5"/>
      <c r="I2" s="5"/>
      <c r="J2" s="22"/>
      <c r="K2" s="5" t="s">
        <v>66</v>
      </c>
      <c r="L2" s="38" t="s">
        <v>202</v>
      </c>
      <c r="N2" s="62" t="s">
        <v>177</v>
      </c>
    </row>
    <row r="3" spans="2:16" x14ac:dyDescent="0.25">
      <c r="B3" s="2" t="s">
        <v>12</v>
      </c>
      <c r="M3" s="54" t="s">
        <v>68</v>
      </c>
    </row>
    <row r="4" spans="2:16" x14ac:dyDescent="0.25">
      <c r="C4" t="s">
        <v>13</v>
      </c>
      <c r="F4" s="4" t="s">
        <v>65</v>
      </c>
      <c r="G4" s="4"/>
      <c r="H4" s="4"/>
      <c r="I4" s="4"/>
      <c r="J4" s="23"/>
      <c r="K4" s="4"/>
      <c r="L4" s="4" t="s">
        <v>65</v>
      </c>
      <c r="M4" s="54" t="s">
        <v>68</v>
      </c>
      <c r="N4" s="4" t="s">
        <v>65</v>
      </c>
    </row>
    <row r="5" spans="2:16" x14ac:dyDescent="0.25">
      <c r="B5" s="2" t="s">
        <v>3</v>
      </c>
      <c r="F5" s="11"/>
      <c r="G5" s="11"/>
      <c r="H5" s="11"/>
      <c r="I5" s="11"/>
      <c r="K5" s="11"/>
      <c r="L5" s="11"/>
      <c r="M5" s="55" t="s">
        <v>68</v>
      </c>
      <c r="N5" s="60"/>
    </row>
    <row r="6" spans="2:16" x14ac:dyDescent="0.25">
      <c r="C6" t="s">
        <v>21</v>
      </c>
      <c r="F6" s="11"/>
      <c r="G6" s="11"/>
      <c r="H6" s="11"/>
      <c r="I6" s="11"/>
      <c r="K6" s="11"/>
      <c r="L6" s="11"/>
      <c r="M6" s="55" t="s">
        <v>68</v>
      </c>
      <c r="N6" s="60"/>
    </row>
    <row r="7" spans="2:16" x14ac:dyDescent="0.25">
      <c r="C7" s="6" t="s">
        <v>19</v>
      </c>
      <c r="F7" s="11">
        <v>23.660000000000057</v>
      </c>
      <c r="G7" s="11"/>
      <c r="H7" s="11"/>
      <c r="I7" s="11"/>
      <c r="J7" s="21" t="s">
        <v>207</v>
      </c>
      <c r="K7" s="11">
        <f>73-23.66</f>
        <v>49.34</v>
      </c>
      <c r="L7" s="11">
        <f>SUM(F7+G7+H7+I7+K7)</f>
        <v>73.000000000000057</v>
      </c>
      <c r="M7" s="55" t="s">
        <v>68</v>
      </c>
      <c r="N7" s="60">
        <v>23.660000000000057</v>
      </c>
    </row>
    <row r="8" spans="2:16" x14ac:dyDescent="0.25">
      <c r="C8" s="6" t="s">
        <v>20</v>
      </c>
      <c r="E8" t="s">
        <v>208</v>
      </c>
      <c r="F8" s="11">
        <v>900</v>
      </c>
      <c r="G8" s="11"/>
      <c r="H8" s="11"/>
      <c r="I8" s="11"/>
      <c r="J8" s="21" t="s">
        <v>209</v>
      </c>
      <c r="K8" s="11">
        <f>395-900</f>
        <v>-505</v>
      </c>
      <c r="L8" s="11">
        <f>SUM(F8+G8+H8+I8+K8)</f>
        <v>395</v>
      </c>
      <c r="M8" s="55" t="s">
        <v>68</v>
      </c>
      <c r="N8" s="60">
        <v>900</v>
      </c>
      <c r="P8" t="s">
        <v>64</v>
      </c>
    </row>
    <row r="9" spans="2:16" x14ac:dyDescent="0.25">
      <c r="C9" s="6" t="s">
        <v>178</v>
      </c>
      <c r="E9" t="s">
        <v>225</v>
      </c>
      <c r="F9" s="11">
        <v>125</v>
      </c>
      <c r="G9" s="11"/>
      <c r="H9" s="11"/>
      <c r="I9" s="11"/>
      <c r="J9" s="21" t="s">
        <v>209</v>
      </c>
      <c r="K9" s="11">
        <f>100-125</f>
        <v>-25</v>
      </c>
      <c r="L9" s="11">
        <f>SUM(F9+G9+H9+I9+K9)</f>
        <v>100</v>
      </c>
      <c r="M9" s="55" t="s">
        <v>68</v>
      </c>
      <c r="N9" s="60">
        <v>125</v>
      </c>
    </row>
    <row r="10" spans="2:16" x14ac:dyDescent="0.25">
      <c r="C10" t="s">
        <v>155</v>
      </c>
      <c r="E10" t="s">
        <v>214</v>
      </c>
      <c r="F10" s="11">
        <v>2450</v>
      </c>
      <c r="G10" s="11"/>
      <c r="H10" s="11"/>
      <c r="I10" s="11"/>
      <c r="J10" s="21" t="s">
        <v>209</v>
      </c>
      <c r="K10" s="11">
        <v>-1450</v>
      </c>
      <c r="L10" s="11">
        <f>SUM(F10+G10+H10+I10+K10)</f>
        <v>1000</v>
      </c>
      <c r="M10" s="55" t="s">
        <v>68</v>
      </c>
      <c r="N10" s="60">
        <v>2450</v>
      </c>
    </row>
    <row r="11" spans="2:16" x14ac:dyDescent="0.25">
      <c r="B11" s="2" t="s">
        <v>5</v>
      </c>
      <c r="C11" s="2"/>
      <c r="F11" s="11"/>
      <c r="G11" s="11"/>
      <c r="H11" s="11"/>
      <c r="I11" s="11"/>
      <c r="K11" s="11"/>
      <c r="L11" s="11"/>
      <c r="M11" s="55" t="s">
        <v>68</v>
      </c>
      <c r="N11" s="60"/>
    </row>
    <row r="12" spans="2:16" x14ac:dyDescent="0.25">
      <c r="C12" t="s">
        <v>6</v>
      </c>
      <c r="F12" s="11">
        <v>1193.75</v>
      </c>
      <c r="G12" s="11"/>
      <c r="H12" s="11">
        <f>248.16-1193.75</f>
        <v>-945.59</v>
      </c>
      <c r="I12" s="11"/>
      <c r="K12" s="11"/>
      <c r="L12" s="11">
        <f t="shared" ref="L12:L26" si="0">SUM(F12+G12+H12+I12+K12)</f>
        <v>248.15999999999997</v>
      </c>
      <c r="M12" s="55" t="s">
        <v>68</v>
      </c>
      <c r="N12" s="60">
        <v>1193.75</v>
      </c>
    </row>
    <row r="13" spans="2:16" x14ac:dyDescent="0.25">
      <c r="C13" t="s">
        <v>7</v>
      </c>
      <c r="F13" s="11">
        <v>45000.000000000007</v>
      </c>
      <c r="G13" s="11"/>
      <c r="H13" s="11"/>
      <c r="I13" s="11">
        <v>4.33</v>
      </c>
      <c r="K13" s="11"/>
      <c r="L13" s="11">
        <f t="shared" si="0"/>
        <v>45004.330000000009</v>
      </c>
      <c r="M13" s="55" t="s">
        <v>68</v>
      </c>
      <c r="N13" s="60">
        <v>45000.000000000007</v>
      </c>
    </row>
    <row r="14" spans="2:16" x14ac:dyDescent="0.25">
      <c r="C14" t="s">
        <v>77</v>
      </c>
      <c r="F14" s="11">
        <v>1714.69</v>
      </c>
      <c r="G14" s="11"/>
      <c r="H14" s="11"/>
      <c r="I14" s="11">
        <f>1974.06-1714.69</f>
        <v>259.36999999999989</v>
      </c>
      <c r="K14" s="11"/>
      <c r="L14" s="11">
        <f t="shared" si="0"/>
        <v>1974.06</v>
      </c>
      <c r="M14" s="55" t="s">
        <v>68</v>
      </c>
      <c r="N14" s="60">
        <v>1714.69</v>
      </c>
    </row>
    <row r="15" spans="2:16" x14ac:dyDescent="0.25">
      <c r="C15" t="s">
        <v>8</v>
      </c>
      <c r="F15" s="11">
        <v>187.85</v>
      </c>
      <c r="G15" s="11">
        <f>165.8-187.85</f>
        <v>-22.049999999999983</v>
      </c>
      <c r="H15" s="11"/>
      <c r="I15" s="11"/>
      <c r="K15" s="11"/>
      <c r="L15" s="11">
        <f t="shared" si="0"/>
        <v>165.8</v>
      </c>
      <c r="M15" s="55" t="s">
        <v>68</v>
      </c>
      <c r="N15" s="60">
        <v>187.85</v>
      </c>
    </row>
    <row r="16" spans="2:16" x14ac:dyDescent="0.25">
      <c r="C16" t="s">
        <v>74</v>
      </c>
      <c r="F16" s="11">
        <v>0</v>
      </c>
      <c r="G16" s="11">
        <v>2350</v>
      </c>
      <c r="H16" s="11">
        <v>12250</v>
      </c>
      <c r="I16" s="11">
        <v>-14600</v>
      </c>
      <c r="K16" s="11"/>
      <c r="L16" s="11">
        <f t="shared" si="0"/>
        <v>0</v>
      </c>
      <c r="M16" s="55" t="s">
        <v>68</v>
      </c>
      <c r="N16" s="60">
        <v>0</v>
      </c>
    </row>
    <row r="17" spans="2:14" x14ac:dyDescent="0.25">
      <c r="B17" s="2" t="s">
        <v>15</v>
      </c>
      <c r="F17" s="11"/>
      <c r="G17" s="11"/>
      <c r="H17" s="11"/>
      <c r="I17" s="11"/>
      <c r="K17" s="11"/>
      <c r="L17" s="11"/>
      <c r="M17" s="55" t="s">
        <v>68</v>
      </c>
      <c r="N17" s="60"/>
    </row>
    <row r="18" spans="2:14" x14ac:dyDescent="0.25">
      <c r="C18" t="s">
        <v>16</v>
      </c>
      <c r="F18" s="11">
        <f>-45073.26-4963.11</f>
        <v>-50036.37</v>
      </c>
      <c r="G18" s="11"/>
      <c r="H18" s="11"/>
      <c r="I18" s="11"/>
      <c r="K18" s="11"/>
      <c r="L18" s="11">
        <f t="shared" si="0"/>
        <v>-50036.37</v>
      </c>
      <c r="M18" s="55" t="s">
        <v>68</v>
      </c>
      <c r="N18" s="60">
        <v>-45073.26</v>
      </c>
    </row>
    <row r="19" spans="2:14" x14ac:dyDescent="0.25">
      <c r="B19" s="2" t="s">
        <v>18</v>
      </c>
      <c r="C19" s="2"/>
      <c r="F19" s="11"/>
      <c r="G19" s="11"/>
      <c r="H19" s="11"/>
      <c r="I19" s="11"/>
      <c r="K19" s="11"/>
      <c r="L19" s="11"/>
      <c r="M19" s="55" t="s">
        <v>68</v>
      </c>
      <c r="N19" s="60"/>
    </row>
    <row r="20" spans="2:14" x14ac:dyDescent="0.25">
      <c r="C20" t="s">
        <v>22</v>
      </c>
      <c r="F20" s="11"/>
      <c r="G20" s="11"/>
      <c r="H20" s="11"/>
      <c r="I20" s="11"/>
      <c r="K20" s="11"/>
      <c r="L20" s="11"/>
      <c r="M20" s="55" t="s">
        <v>68</v>
      </c>
      <c r="N20" s="60"/>
    </row>
    <row r="21" spans="2:14" x14ac:dyDescent="0.25">
      <c r="C21" s="6" t="s">
        <v>118</v>
      </c>
      <c r="F21" s="11">
        <v>-500</v>
      </c>
      <c r="G21" s="11"/>
      <c r="H21" s="11"/>
      <c r="I21" s="11"/>
      <c r="J21" s="21" t="s">
        <v>204</v>
      </c>
      <c r="K21" s="11">
        <v>500</v>
      </c>
      <c r="L21" s="11">
        <f t="shared" si="0"/>
        <v>0</v>
      </c>
      <c r="M21" s="55" t="s">
        <v>205</v>
      </c>
      <c r="N21" s="60">
        <v>-500</v>
      </c>
    </row>
    <row r="22" spans="2:14" x14ac:dyDescent="0.25">
      <c r="C22" s="6" t="s">
        <v>211</v>
      </c>
      <c r="F22" s="11"/>
      <c r="G22" s="11"/>
      <c r="H22" s="11"/>
      <c r="I22" s="11"/>
      <c r="J22" s="21" t="s">
        <v>212</v>
      </c>
      <c r="K22" s="11">
        <v>-81</v>
      </c>
      <c r="L22" s="11">
        <f t="shared" si="0"/>
        <v>-81</v>
      </c>
      <c r="M22" s="55" t="s">
        <v>68</v>
      </c>
      <c r="N22" s="60"/>
    </row>
    <row r="23" spans="2:14" x14ac:dyDescent="0.25">
      <c r="C23" s="6" t="s">
        <v>181</v>
      </c>
      <c r="F23" s="11">
        <v>-44</v>
      </c>
      <c r="G23" s="11"/>
      <c r="H23" s="11"/>
      <c r="I23" s="11"/>
      <c r="J23" s="21" t="s">
        <v>204</v>
      </c>
      <c r="K23" s="11">
        <v>44</v>
      </c>
      <c r="L23" s="11">
        <f t="shared" si="0"/>
        <v>0</v>
      </c>
      <c r="M23" s="55" t="s">
        <v>68</v>
      </c>
      <c r="N23" s="60">
        <v>-44</v>
      </c>
    </row>
    <row r="24" spans="2:14" x14ac:dyDescent="0.25">
      <c r="C24" s="6" t="s">
        <v>216</v>
      </c>
      <c r="F24" s="11"/>
      <c r="G24" s="11"/>
      <c r="H24" s="11"/>
      <c r="I24" s="11"/>
      <c r="J24" s="21" t="s">
        <v>212</v>
      </c>
      <c r="K24" s="11">
        <v>-100</v>
      </c>
      <c r="L24" s="11">
        <f t="shared" si="0"/>
        <v>-100</v>
      </c>
      <c r="M24" s="55" t="s">
        <v>68</v>
      </c>
      <c r="N24" s="60"/>
    </row>
    <row r="25" spans="2:14" x14ac:dyDescent="0.25">
      <c r="C25" s="6" t="s">
        <v>230</v>
      </c>
      <c r="F25" s="11"/>
      <c r="G25" s="11"/>
      <c r="H25" s="11"/>
      <c r="I25" s="11">
        <v>-1499.83</v>
      </c>
      <c r="K25" s="11">
        <v>0</v>
      </c>
      <c r="L25" s="11">
        <f t="shared" si="0"/>
        <v>-1499.83</v>
      </c>
      <c r="M25" s="55" t="s">
        <v>68</v>
      </c>
      <c r="N25" s="60"/>
    </row>
    <row r="26" spans="2:14" x14ac:dyDescent="0.25">
      <c r="C26" s="6" t="s">
        <v>185</v>
      </c>
      <c r="F26" s="19">
        <v>-1014.5799999999999</v>
      </c>
      <c r="G26" s="19"/>
      <c r="H26" s="19"/>
      <c r="I26" s="19"/>
      <c r="J26" s="22" t="s">
        <v>217</v>
      </c>
      <c r="K26" s="19">
        <v>1014.58</v>
      </c>
      <c r="L26" s="11">
        <f t="shared" si="0"/>
        <v>1.1368683772161603E-13</v>
      </c>
      <c r="M26" s="55" t="s">
        <v>68</v>
      </c>
      <c r="N26" s="60">
        <v>-1014.5799999999999</v>
      </c>
    </row>
    <row r="27" spans="2:14" ht="15.75" thickBot="1" x14ac:dyDescent="0.3">
      <c r="E27" t="s">
        <v>108</v>
      </c>
      <c r="F27" s="11">
        <f>SUM(F5:F26)</f>
        <v>1.8189894035458565E-12</v>
      </c>
      <c r="G27" s="11">
        <f>SUM(G4:G26)</f>
        <v>2327.9499999999998</v>
      </c>
      <c r="H27" s="11">
        <f>SUM(H4:H26)</f>
        <v>11304.41</v>
      </c>
      <c r="I27" s="11">
        <f>SUM(I4:I26)</f>
        <v>-15836.13</v>
      </c>
      <c r="K27" s="11">
        <f>SUM(K4:K26)</f>
        <v>-553.07999999999981</v>
      </c>
      <c r="L27" s="12">
        <f>SUM(L3:L26)</f>
        <v>-2756.8499999999967</v>
      </c>
      <c r="M27" s="56"/>
      <c r="N27" s="63">
        <v>4963.1100000000024</v>
      </c>
    </row>
    <row r="28" spans="2:14" ht="15.75" thickTop="1" x14ac:dyDescent="0.25">
      <c r="F28" s="11"/>
      <c r="G28" s="11"/>
      <c r="H28" s="11"/>
      <c r="I28" s="11"/>
      <c r="K28" s="11"/>
      <c r="L28" s="11"/>
      <c r="M28" s="56"/>
      <c r="N28" s="60"/>
    </row>
    <row r="29" spans="2:14" x14ac:dyDescent="0.25">
      <c r="F29" s="11"/>
      <c r="G29" s="11"/>
      <c r="H29" s="11"/>
      <c r="I29" s="11"/>
      <c r="K29" s="11"/>
      <c r="L29" s="11"/>
      <c r="M29" s="56"/>
      <c r="N29" s="60"/>
    </row>
    <row r="30" spans="2:14" x14ac:dyDescent="0.25">
      <c r="F30" s="11"/>
      <c r="G30" s="11"/>
      <c r="H30" s="11"/>
      <c r="I30" s="11"/>
      <c r="K30" s="11"/>
      <c r="L30" s="11"/>
      <c r="M30" s="56"/>
      <c r="N30" s="60"/>
    </row>
    <row r="31" spans="2:14" x14ac:dyDescent="0.25">
      <c r="F31" s="11"/>
      <c r="G31" s="11"/>
      <c r="H31" s="11"/>
      <c r="I31" s="11"/>
      <c r="K31" s="11"/>
      <c r="L31" s="11"/>
      <c r="M31" s="56"/>
      <c r="N31" s="60"/>
    </row>
    <row r="32" spans="2:14" x14ac:dyDescent="0.25">
      <c r="F32" s="11"/>
      <c r="G32" s="11"/>
      <c r="H32" s="11"/>
      <c r="I32" s="11"/>
      <c r="K32" s="11"/>
      <c r="L32" s="11"/>
      <c r="M32" s="56"/>
      <c r="N32" s="60"/>
    </row>
    <row r="33" spans="2:14" x14ac:dyDescent="0.25">
      <c r="F33" s="11"/>
      <c r="G33" s="11"/>
      <c r="H33" s="11"/>
      <c r="I33" s="11"/>
      <c r="K33" s="11"/>
      <c r="L33" s="11"/>
      <c r="M33" s="56"/>
      <c r="N33" s="60"/>
    </row>
    <row r="34" spans="2:14" x14ac:dyDescent="0.25">
      <c r="F34" s="11"/>
      <c r="G34" s="11"/>
      <c r="H34" s="11"/>
      <c r="I34" s="11"/>
      <c r="K34" s="11"/>
      <c r="L34" s="11"/>
      <c r="M34" s="56"/>
      <c r="N34" s="60"/>
    </row>
    <row r="35" spans="2:14" x14ac:dyDescent="0.25">
      <c r="F35" t="s">
        <v>62</v>
      </c>
      <c r="G35" t="s">
        <v>67</v>
      </c>
      <c r="H35" t="s">
        <v>75</v>
      </c>
      <c r="I35" t="s">
        <v>76</v>
      </c>
      <c r="L35" t="s">
        <v>63</v>
      </c>
      <c r="N35" s="4" t="s">
        <v>63</v>
      </c>
    </row>
    <row r="36" spans="2:14" x14ac:dyDescent="0.25">
      <c r="F36" s="1">
        <v>44562</v>
      </c>
      <c r="G36" s="5"/>
      <c r="H36" s="5"/>
      <c r="I36" s="5"/>
      <c r="J36" s="22"/>
      <c r="K36" s="5" t="s">
        <v>66</v>
      </c>
      <c r="L36" s="38" t="s">
        <v>202</v>
      </c>
      <c r="N36" s="62" t="s">
        <v>177</v>
      </c>
    </row>
    <row r="37" spans="2:14" x14ac:dyDescent="0.25">
      <c r="E37" t="s">
        <v>107</v>
      </c>
      <c r="F37" s="11">
        <f t="shared" ref="F37:K37" si="1">SUM(F27)</f>
        <v>1.8189894035458565E-12</v>
      </c>
      <c r="G37" s="11">
        <f t="shared" si="1"/>
        <v>2327.9499999999998</v>
      </c>
      <c r="H37" s="11">
        <f t="shared" si="1"/>
        <v>11304.41</v>
      </c>
      <c r="I37" s="11">
        <f t="shared" si="1"/>
        <v>-15836.13</v>
      </c>
      <c r="J37" s="11">
        <f t="shared" si="1"/>
        <v>0</v>
      </c>
      <c r="K37" s="11">
        <f t="shared" si="1"/>
        <v>-553.07999999999981</v>
      </c>
      <c r="L37" s="11">
        <f>SUM(L27)</f>
        <v>-2756.8499999999967</v>
      </c>
      <c r="M37" s="55" t="s">
        <v>68</v>
      </c>
      <c r="N37" s="60">
        <v>4963.1100000000024</v>
      </c>
    </row>
    <row r="38" spans="2:14" ht="15.75" x14ac:dyDescent="0.25">
      <c r="B38" s="9" t="s">
        <v>27</v>
      </c>
      <c r="F38" s="11"/>
      <c r="G38" s="11"/>
      <c r="H38" s="11"/>
      <c r="I38" s="11"/>
      <c r="K38" s="11"/>
      <c r="L38" s="11"/>
      <c r="M38" s="55" t="s">
        <v>68</v>
      </c>
      <c r="N38" s="60"/>
    </row>
    <row r="39" spans="2:14" x14ac:dyDescent="0.25">
      <c r="B39" t="s">
        <v>28</v>
      </c>
      <c r="F39" s="11"/>
      <c r="G39" s="11">
        <v>-240</v>
      </c>
      <c r="H39" s="11">
        <v>-11144.5</v>
      </c>
      <c r="I39" s="11">
        <v>-179</v>
      </c>
      <c r="J39" s="21" t="s">
        <v>213</v>
      </c>
      <c r="K39" s="11">
        <f>-44+81</f>
        <v>37</v>
      </c>
      <c r="L39" s="11">
        <f t="shared" ref="L39:L55" si="2">SUM(F39+G39+H39+I39+K39)</f>
        <v>-11526.5</v>
      </c>
      <c r="M39" s="55" t="s">
        <v>68</v>
      </c>
      <c r="N39" s="60">
        <v>-11747</v>
      </c>
    </row>
    <row r="40" spans="2:14" x14ac:dyDescent="0.25">
      <c r="B40" t="s">
        <v>218</v>
      </c>
      <c r="F40" s="11"/>
      <c r="G40" s="11"/>
      <c r="H40" s="11">
        <f>-232-12</f>
        <v>-244</v>
      </c>
      <c r="I40" s="11"/>
      <c r="K40" s="11"/>
      <c r="L40" s="11">
        <f t="shared" si="2"/>
        <v>-244</v>
      </c>
      <c r="M40" s="55" t="s">
        <v>68</v>
      </c>
      <c r="N40" s="60"/>
    </row>
    <row r="41" spans="2:14" x14ac:dyDescent="0.25">
      <c r="B41" t="s">
        <v>29</v>
      </c>
      <c r="C41" t="s">
        <v>69</v>
      </c>
      <c r="F41" s="11"/>
      <c r="G41" s="11">
        <v>-832.6</v>
      </c>
      <c r="H41" s="11">
        <v>-54.75</v>
      </c>
      <c r="I41" s="11">
        <v>-254</v>
      </c>
      <c r="K41" s="11"/>
      <c r="L41" s="11">
        <f t="shared" si="2"/>
        <v>-1141.3499999999999</v>
      </c>
      <c r="M41" s="55" t="s">
        <v>68</v>
      </c>
      <c r="N41" s="60">
        <v>-1096.8499999999999</v>
      </c>
    </row>
    <row r="42" spans="2:14" x14ac:dyDescent="0.25">
      <c r="B42" t="s">
        <v>30</v>
      </c>
      <c r="F42" s="11"/>
      <c r="G42" s="11"/>
      <c r="H42" s="11"/>
      <c r="I42" s="11">
        <v>-1500</v>
      </c>
      <c r="K42" s="11"/>
      <c r="L42" s="11">
        <f t="shared" si="2"/>
        <v>-1500</v>
      </c>
      <c r="M42" s="55" t="s">
        <v>68</v>
      </c>
      <c r="N42" s="60">
        <v>-1500</v>
      </c>
    </row>
    <row r="43" spans="2:14" x14ac:dyDescent="0.25">
      <c r="C43" s="6" t="s">
        <v>191</v>
      </c>
      <c r="F43" s="11"/>
      <c r="G43" s="11"/>
      <c r="H43" s="11"/>
      <c r="I43" s="11"/>
      <c r="K43" s="11"/>
      <c r="L43" s="11">
        <f>SUM(F43+G43+H43+I43+K43)</f>
        <v>0</v>
      </c>
      <c r="M43" s="55" t="s">
        <v>68</v>
      </c>
      <c r="N43" s="60">
        <v>-5000</v>
      </c>
    </row>
    <row r="44" spans="2:14" x14ac:dyDescent="0.25">
      <c r="B44" t="s">
        <v>31</v>
      </c>
      <c r="F44" s="11"/>
      <c r="G44" s="11"/>
      <c r="H44" s="11">
        <v>-100</v>
      </c>
      <c r="I44" s="11">
        <v>-250</v>
      </c>
      <c r="J44" s="21" t="s">
        <v>212</v>
      </c>
      <c r="K44" s="11">
        <v>100</v>
      </c>
      <c r="L44" s="11">
        <f t="shared" si="2"/>
        <v>-250</v>
      </c>
      <c r="M44" s="55" t="s">
        <v>68</v>
      </c>
      <c r="N44" s="60">
        <v>0</v>
      </c>
    </row>
    <row r="45" spans="2:14" x14ac:dyDescent="0.25">
      <c r="B45" t="s">
        <v>119</v>
      </c>
      <c r="F45" s="11"/>
      <c r="G45" s="11">
        <v>-78.95</v>
      </c>
      <c r="H45" s="11"/>
      <c r="I45" s="11">
        <v>-202.68</v>
      </c>
      <c r="K45" s="11"/>
      <c r="L45" s="11">
        <f t="shared" si="2"/>
        <v>-281.63</v>
      </c>
      <c r="M45" s="55" t="s">
        <v>68</v>
      </c>
      <c r="N45" s="60">
        <v>-88.6</v>
      </c>
    </row>
    <row r="46" spans="2:14" x14ac:dyDescent="0.25">
      <c r="B46" t="s">
        <v>194</v>
      </c>
      <c r="F46" s="11"/>
      <c r="G46" s="11"/>
      <c r="H46" s="11"/>
      <c r="I46" s="11">
        <v>-50</v>
      </c>
      <c r="K46" s="11"/>
      <c r="L46" s="11">
        <f t="shared" si="2"/>
        <v>-50</v>
      </c>
      <c r="M46" s="55" t="s">
        <v>68</v>
      </c>
      <c r="N46" s="60">
        <v>-100</v>
      </c>
    </row>
    <row r="47" spans="2:14" x14ac:dyDescent="0.25">
      <c r="B47" t="s">
        <v>84</v>
      </c>
      <c r="F47" s="11"/>
      <c r="G47" s="11"/>
      <c r="H47" s="11">
        <v>-45</v>
      </c>
      <c r="I47" s="11">
        <v>-195</v>
      </c>
      <c r="K47" s="11"/>
      <c r="L47" s="11">
        <f t="shared" si="2"/>
        <v>-240</v>
      </c>
      <c r="M47" s="55" t="s">
        <v>68</v>
      </c>
      <c r="N47" s="60">
        <v>-165</v>
      </c>
    </row>
    <row r="48" spans="2:14" x14ac:dyDescent="0.25">
      <c r="B48" t="s">
        <v>188</v>
      </c>
      <c r="F48" s="11"/>
      <c r="G48" s="11"/>
      <c r="H48" s="11"/>
      <c r="I48" s="11"/>
      <c r="J48" s="21" t="s">
        <v>204</v>
      </c>
      <c r="K48" s="11">
        <v>-1014.5799999999999</v>
      </c>
      <c r="L48" s="11">
        <f t="shared" si="2"/>
        <v>-1014.5799999999999</v>
      </c>
      <c r="M48" s="55" t="s">
        <v>68</v>
      </c>
      <c r="N48" s="60">
        <v>-2064.5299999999997</v>
      </c>
    </row>
    <row r="49" spans="2:14" x14ac:dyDescent="0.25">
      <c r="B49" t="s">
        <v>85</v>
      </c>
      <c r="F49" s="11"/>
      <c r="G49" s="11">
        <v>-145</v>
      </c>
      <c r="H49" s="11"/>
      <c r="I49" s="11">
        <f>-5-37.5</f>
        <v>-42.5</v>
      </c>
      <c r="K49" s="11"/>
      <c r="L49" s="11">
        <f t="shared" si="2"/>
        <v>-187.5</v>
      </c>
      <c r="M49" s="55" t="s">
        <v>68</v>
      </c>
      <c r="N49" s="60">
        <v>-1370</v>
      </c>
    </row>
    <row r="50" spans="2:14" x14ac:dyDescent="0.25">
      <c r="B50" t="s">
        <v>157</v>
      </c>
      <c r="F50" s="11"/>
      <c r="G50" s="11"/>
      <c r="H50" s="11"/>
      <c r="I50" s="11">
        <v>-1</v>
      </c>
      <c r="K50" s="11"/>
      <c r="L50" s="11">
        <f t="shared" si="2"/>
        <v>-1</v>
      </c>
      <c r="M50" s="55" t="s">
        <v>68</v>
      </c>
      <c r="N50" s="60">
        <v>-53.5</v>
      </c>
    </row>
    <row r="51" spans="2:14" x14ac:dyDescent="0.25">
      <c r="B51" t="s">
        <v>186</v>
      </c>
      <c r="F51" s="11"/>
      <c r="G51" s="11">
        <v>-362.5</v>
      </c>
      <c r="H51" s="11">
        <v>-37.5</v>
      </c>
      <c r="I51" s="11">
        <v>-150</v>
      </c>
      <c r="K51" s="11"/>
      <c r="L51" s="11">
        <f t="shared" si="2"/>
        <v>-550</v>
      </c>
      <c r="M51" s="55" t="s">
        <v>68</v>
      </c>
      <c r="N51" s="60">
        <v>-4625</v>
      </c>
    </row>
    <row r="52" spans="2:14" x14ac:dyDescent="0.25">
      <c r="B52" t="s">
        <v>187</v>
      </c>
      <c r="F52" s="11"/>
      <c r="G52" s="11"/>
      <c r="H52" s="11"/>
      <c r="I52" s="11"/>
      <c r="K52" s="11"/>
      <c r="L52" s="11">
        <f t="shared" si="2"/>
        <v>0</v>
      </c>
      <c r="M52" s="55" t="s">
        <v>68</v>
      </c>
      <c r="N52" s="60">
        <v>-1175</v>
      </c>
    </row>
    <row r="53" spans="2:14" x14ac:dyDescent="0.25">
      <c r="B53" t="s">
        <v>34</v>
      </c>
      <c r="F53" s="11"/>
      <c r="G53" s="11">
        <v>-674.9</v>
      </c>
      <c r="H53" s="11"/>
      <c r="I53" s="11"/>
      <c r="K53" s="11"/>
      <c r="L53" s="11">
        <f>SUM(F53+G53+H53+I53+K53)</f>
        <v>-674.9</v>
      </c>
      <c r="M53" s="55" t="s">
        <v>68</v>
      </c>
      <c r="N53" s="60">
        <v>0</v>
      </c>
    </row>
    <row r="54" spans="2:14" x14ac:dyDescent="0.25">
      <c r="B54" t="s">
        <v>35</v>
      </c>
      <c r="F54" s="11"/>
      <c r="G54" s="11"/>
      <c r="H54" s="11"/>
      <c r="I54" s="11">
        <v>-400</v>
      </c>
      <c r="K54" s="11"/>
      <c r="L54" s="11">
        <f t="shared" si="2"/>
        <v>-400</v>
      </c>
      <c r="M54" s="55" t="s">
        <v>68</v>
      </c>
      <c r="N54" s="60">
        <v>-250</v>
      </c>
    </row>
    <row r="55" spans="2:14" x14ac:dyDescent="0.25">
      <c r="B55" t="s">
        <v>36</v>
      </c>
      <c r="F55" s="11"/>
      <c r="G55" s="11"/>
      <c r="H55" s="11"/>
      <c r="I55" s="11"/>
      <c r="J55" s="21" t="s">
        <v>204</v>
      </c>
      <c r="K55" s="11">
        <v>-500</v>
      </c>
      <c r="L55" s="11">
        <f t="shared" si="2"/>
        <v>-500</v>
      </c>
      <c r="M55" s="55" t="s">
        <v>68</v>
      </c>
      <c r="N55" s="60">
        <v>-500</v>
      </c>
    </row>
    <row r="56" spans="2:14" x14ac:dyDescent="0.25">
      <c r="B56" t="s">
        <v>38</v>
      </c>
      <c r="F56" s="11"/>
      <c r="G56" s="11"/>
      <c r="H56" s="11"/>
      <c r="I56" s="11">
        <v>-4.33</v>
      </c>
      <c r="K56" s="11"/>
      <c r="L56" s="11">
        <f>SUM(F56+G56+H56+I56+K56)</f>
        <v>-4.33</v>
      </c>
      <c r="M56" s="55" t="s">
        <v>68</v>
      </c>
      <c r="N56" s="60">
        <v>-4.84</v>
      </c>
    </row>
    <row r="57" spans="2:14" x14ac:dyDescent="0.25">
      <c r="F57" s="19"/>
      <c r="G57" s="19"/>
      <c r="H57" s="19"/>
      <c r="I57" s="19"/>
      <c r="J57" s="22"/>
      <c r="K57" s="19"/>
      <c r="L57" s="19"/>
      <c r="M57" s="57" t="s">
        <v>68</v>
      </c>
      <c r="N57" s="61"/>
    </row>
    <row r="58" spans="2:14" x14ac:dyDescent="0.25">
      <c r="E58" t="s">
        <v>106</v>
      </c>
      <c r="F58" s="11">
        <f>SUM(F37:F57)</f>
        <v>1.8189894035458565E-12</v>
      </c>
      <c r="G58" s="11">
        <f>SUM(G37:G57)</f>
        <v>-6.0000000000001137</v>
      </c>
      <c r="H58" s="11">
        <f>SUM(H37:H57)</f>
        <v>-321.34000000000015</v>
      </c>
      <c r="I58" s="11">
        <f>SUM(I37:I57)</f>
        <v>-19064.64</v>
      </c>
      <c r="K58" s="11">
        <f>SUM(K37:K57)</f>
        <v>-1930.6599999999999</v>
      </c>
      <c r="L58" s="11">
        <f>SUM(L37:L57)</f>
        <v>-21322.639999999999</v>
      </c>
      <c r="M58" s="56"/>
      <c r="N58" s="60">
        <v>-24777.21</v>
      </c>
    </row>
    <row r="59" spans="2:14" x14ac:dyDescent="0.25">
      <c r="F59" s="11"/>
      <c r="G59" s="11"/>
      <c r="H59" s="11"/>
      <c r="I59" s="11"/>
      <c r="K59" s="11"/>
      <c r="L59" s="11"/>
      <c r="M59" s="56"/>
      <c r="N59" s="60"/>
    </row>
    <row r="60" spans="2:14" x14ac:dyDescent="0.25">
      <c r="F60" s="11"/>
      <c r="G60" s="11"/>
      <c r="H60" s="11"/>
      <c r="I60" s="11"/>
      <c r="K60" s="11"/>
      <c r="L60" s="11"/>
      <c r="M60" s="56"/>
      <c r="N60" s="60"/>
    </row>
    <row r="61" spans="2:14" x14ac:dyDescent="0.25">
      <c r="F61" s="11"/>
      <c r="G61" s="11"/>
      <c r="H61" s="11"/>
      <c r="I61" s="11"/>
      <c r="K61" s="11"/>
      <c r="L61" s="11"/>
      <c r="M61" s="56"/>
      <c r="N61" s="60"/>
    </row>
    <row r="62" spans="2:14" x14ac:dyDescent="0.25">
      <c r="F62" s="11"/>
      <c r="G62" s="11"/>
      <c r="H62" s="11"/>
      <c r="I62" s="11"/>
      <c r="K62" s="11"/>
      <c r="L62" s="11"/>
      <c r="M62" s="56"/>
      <c r="N62" s="60"/>
    </row>
    <row r="63" spans="2:14" x14ac:dyDescent="0.25">
      <c r="F63" s="11"/>
      <c r="G63" s="11"/>
      <c r="H63" s="11"/>
      <c r="I63" s="11"/>
      <c r="K63" s="11"/>
      <c r="L63" s="11"/>
      <c r="M63" s="56"/>
      <c r="N63" s="60"/>
    </row>
    <row r="64" spans="2:14" x14ac:dyDescent="0.25">
      <c r="F64" s="11"/>
      <c r="G64" s="11"/>
      <c r="H64" s="11"/>
      <c r="I64" s="11"/>
      <c r="K64" s="11"/>
      <c r="L64" s="11"/>
      <c r="M64" s="56"/>
      <c r="N64" s="60"/>
    </row>
    <row r="65" spans="2:14" x14ac:dyDescent="0.25">
      <c r="F65" s="11"/>
      <c r="G65" s="11"/>
      <c r="H65" s="11"/>
      <c r="I65" s="11"/>
      <c r="K65" s="11"/>
      <c r="L65" s="11"/>
      <c r="M65" s="56"/>
      <c r="N65" s="60"/>
    </row>
    <row r="66" spans="2:14" x14ac:dyDescent="0.25">
      <c r="F66" s="11"/>
      <c r="G66" s="11"/>
      <c r="H66" s="11"/>
      <c r="I66" s="11"/>
      <c r="K66" s="11"/>
      <c r="L66" s="11"/>
      <c r="M66" s="56"/>
      <c r="N66" s="60"/>
    </row>
    <row r="67" spans="2:14" x14ac:dyDescent="0.25">
      <c r="F67" t="s">
        <v>62</v>
      </c>
      <c r="G67" t="s">
        <v>67</v>
      </c>
      <c r="H67" t="s">
        <v>75</v>
      </c>
      <c r="I67" t="s">
        <v>76</v>
      </c>
      <c r="L67" t="s">
        <v>63</v>
      </c>
      <c r="N67" s="4" t="s">
        <v>63</v>
      </c>
    </row>
    <row r="68" spans="2:14" x14ac:dyDescent="0.25">
      <c r="F68" s="1">
        <v>44562</v>
      </c>
      <c r="G68" s="5"/>
      <c r="H68" s="5"/>
      <c r="I68" s="5"/>
      <c r="J68" s="22"/>
      <c r="K68" s="5" t="s">
        <v>66</v>
      </c>
      <c r="L68" s="38" t="s">
        <v>202</v>
      </c>
      <c r="N68" s="62" t="s">
        <v>177</v>
      </c>
    </row>
    <row r="69" spans="2:14" x14ac:dyDescent="0.25">
      <c r="E69" t="s">
        <v>107</v>
      </c>
      <c r="F69" s="11">
        <f t="shared" ref="F69:K69" si="3">SUM(F58)</f>
        <v>1.8189894035458565E-12</v>
      </c>
      <c r="G69" s="11">
        <f t="shared" si="3"/>
        <v>-6.0000000000001137</v>
      </c>
      <c r="H69" s="11">
        <f t="shared" si="3"/>
        <v>-321.34000000000015</v>
      </c>
      <c r="I69" s="11">
        <f t="shared" si="3"/>
        <v>-19064.64</v>
      </c>
      <c r="J69" s="11">
        <f t="shared" si="3"/>
        <v>0</v>
      </c>
      <c r="K69" s="11">
        <f t="shared" si="3"/>
        <v>-1930.6599999999999</v>
      </c>
      <c r="L69" s="11">
        <f>SUM(L58)</f>
        <v>-21322.639999999999</v>
      </c>
      <c r="N69" s="4">
        <v>-24777.21</v>
      </c>
    </row>
    <row r="70" spans="2:14" ht="18.75" x14ac:dyDescent="0.3">
      <c r="B70" s="3" t="s">
        <v>41</v>
      </c>
      <c r="F70" s="11"/>
      <c r="G70" s="11"/>
      <c r="H70" s="11"/>
      <c r="I70" s="11"/>
      <c r="K70" s="11"/>
      <c r="L70" s="11"/>
      <c r="M70" s="56" t="s">
        <v>68</v>
      </c>
      <c r="N70" s="60"/>
    </row>
    <row r="71" spans="2:14" x14ac:dyDescent="0.25">
      <c r="B71" s="2" t="s">
        <v>42</v>
      </c>
      <c r="F71" s="11"/>
      <c r="G71" s="11"/>
      <c r="H71" s="11"/>
      <c r="I71" s="11"/>
      <c r="K71" s="11"/>
      <c r="L71" s="11"/>
      <c r="M71" s="56" t="s">
        <v>68</v>
      </c>
      <c r="N71" s="60"/>
    </row>
    <row r="72" spans="2:14" x14ac:dyDescent="0.25">
      <c r="C72" t="s">
        <v>43</v>
      </c>
      <c r="F72" s="11"/>
      <c r="G72" s="11"/>
      <c r="H72" s="11"/>
      <c r="I72" s="11">
        <v>2698.26</v>
      </c>
      <c r="K72" s="11"/>
      <c r="L72" s="11">
        <f t="shared" ref="L72:L102" si="4">SUM(F72+G72+H72+I72+K72)</f>
        <v>2698.26</v>
      </c>
      <c r="M72" s="56" t="s">
        <v>68</v>
      </c>
      <c r="N72" s="60">
        <v>968.51</v>
      </c>
    </row>
    <row r="73" spans="2:14" x14ac:dyDescent="0.25">
      <c r="C73" t="s">
        <v>219</v>
      </c>
      <c r="F73" s="11"/>
      <c r="G73" s="11"/>
      <c r="H73" s="11"/>
      <c r="I73" s="11">
        <f>-190-190</f>
        <v>-380</v>
      </c>
      <c r="K73" s="11"/>
      <c r="L73" s="11">
        <f t="shared" si="4"/>
        <v>-380</v>
      </c>
      <c r="M73" s="56" t="s">
        <v>68</v>
      </c>
      <c r="N73" s="60"/>
    </row>
    <row r="74" spans="2:14" x14ac:dyDescent="0.25">
      <c r="C74" t="s">
        <v>80</v>
      </c>
      <c r="F74" s="11"/>
      <c r="G74" s="11"/>
      <c r="H74" s="11"/>
      <c r="I74" s="11"/>
      <c r="K74" s="11"/>
      <c r="L74" s="11">
        <f t="shared" si="4"/>
        <v>0</v>
      </c>
      <c r="M74" s="56"/>
      <c r="N74" s="60">
        <v>-55</v>
      </c>
    </row>
    <row r="75" spans="2:14" x14ac:dyDescent="0.25">
      <c r="C75" t="s">
        <v>89</v>
      </c>
      <c r="F75" s="11"/>
      <c r="G75" s="11"/>
      <c r="H75" s="11"/>
      <c r="I75" s="11">
        <v>351.85</v>
      </c>
      <c r="K75" s="11"/>
      <c r="L75" s="11">
        <f t="shared" si="4"/>
        <v>351.85</v>
      </c>
      <c r="M75" s="56"/>
      <c r="N75" s="60">
        <v>82.1</v>
      </c>
    </row>
    <row r="76" spans="2:14" x14ac:dyDescent="0.25">
      <c r="C76" t="s">
        <v>44</v>
      </c>
      <c r="F76" s="11"/>
      <c r="G76" s="11">
        <v>6</v>
      </c>
      <c r="H76" s="11"/>
      <c r="I76" s="11">
        <f>90+55.1</f>
        <v>145.1</v>
      </c>
      <c r="K76" s="11"/>
      <c r="L76" s="11">
        <f t="shared" si="4"/>
        <v>151.1</v>
      </c>
      <c r="M76" s="56"/>
      <c r="N76" s="60">
        <v>444.67</v>
      </c>
    </row>
    <row r="77" spans="2:14" x14ac:dyDescent="0.25">
      <c r="C77" t="s">
        <v>45</v>
      </c>
      <c r="F77" s="11"/>
      <c r="G77" s="11"/>
      <c r="H77" s="11"/>
      <c r="I77" s="11">
        <v>636.5</v>
      </c>
      <c r="K77" s="11"/>
      <c r="L77" s="11">
        <f t="shared" si="4"/>
        <v>636.5</v>
      </c>
      <c r="M77" s="56"/>
      <c r="N77" s="60">
        <v>601.9</v>
      </c>
    </row>
    <row r="78" spans="2:14" x14ac:dyDescent="0.25">
      <c r="C78" t="s">
        <v>46</v>
      </c>
      <c r="F78" s="11"/>
      <c r="G78" s="11"/>
      <c r="H78" s="11"/>
      <c r="I78" s="11">
        <f>678.74-79</f>
        <v>599.74</v>
      </c>
      <c r="K78" s="11"/>
      <c r="L78" s="11">
        <f t="shared" si="4"/>
        <v>599.74</v>
      </c>
      <c r="M78" s="56"/>
      <c r="N78" s="60">
        <v>628.64999999999986</v>
      </c>
    </row>
    <row r="79" spans="2:14" x14ac:dyDescent="0.25">
      <c r="C79" t="s">
        <v>47</v>
      </c>
      <c r="F79" s="11"/>
      <c r="G79" s="11"/>
      <c r="H79" s="11"/>
      <c r="I79" s="11">
        <v>1186.8</v>
      </c>
      <c r="K79" s="11"/>
      <c r="L79" s="11">
        <f t="shared" si="4"/>
        <v>1186.8</v>
      </c>
      <c r="M79" s="56"/>
      <c r="N79" s="60">
        <v>1136.1600000000001</v>
      </c>
    </row>
    <row r="80" spans="2:14" x14ac:dyDescent="0.25">
      <c r="C80" t="s">
        <v>48</v>
      </c>
      <c r="F80" s="11"/>
      <c r="G80" s="11"/>
      <c r="H80" s="11"/>
      <c r="I80" s="11"/>
      <c r="K80" s="11"/>
      <c r="L80" s="11">
        <f t="shared" si="4"/>
        <v>0</v>
      </c>
      <c r="M80" s="56"/>
      <c r="N80" s="60">
        <v>0</v>
      </c>
    </row>
    <row r="81" spans="2:14" x14ac:dyDescent="0.25">
      <c r="D81" t="s">
        <v>222</v>
      </c>
      <c r="F81" s="11"/>
      <c r="G81" s="11"/>
      <c r="H81" s="11"/>
      <c r="I81" s="11">
        <v>179</v>
      </c>
      <c r="K81" s="11"/>
      <c r="L81" s="11">
        <f t="shared" si="4"/>
        <v>179</v>
      </c>
      <c r="M81" s="56"/>
      <c r="N81" s="60"/>
    </row>
    <row r="82" spans="2:14" x14ac:dyDescent="0.25">
      <c r="D82" t="s">
        <v>220</v>
      </c>
      <c r="F82" s="11"/>
      <c r="G82" s="11"/>
      <c r="H82" s="11"/>
      <c r="I82" s="11">
        <v>79</v>
      </c>
      <c r="K82" s="11"/>
      <c r="L82" s="11">
        <f t="shared" si="4"/>
        <v>79</v>
      </c>
      <c r="M82" s="56"/>
      <c r="N82" s="60">
        <v>0</v>
      </c>
    </row>
    <row r="83" spans="2:14" x14ac:dyDescent="0.25">
      <c r="D83" t="s">
        <v>223</v>
      </c>
      <c r="F83" s="11"/>
      <c r="G83" s="11"/>
      <c r="H83" s="11"/>
      <c r="I83" s="11">
        <v>260.25</v>
      </c>
      <c r="K83" s="11"/>
      <c r="L83" s="11">
        <f t="shared" si="4"/>
        <v>260.25</v>
      </c>
      <c r="M83" s="56"/>
      <c r="N83" s="60">
        <v>0</v>
      </c>
    </row>
    <row r="84" spans="2:14" x14ac:dyDescent="0.25">
      <c r="D84" t="s">
        <v>224</v>
      </c>
      <c r="F84" s="11"/>
      <c r="G84" s="11"/>
      <c r="H84" s="11"/>
      <c r="I84" s="11">
        <v>561.96</v>
      </c>
      <c r="K84" s="11"/>
      <c r="L84" s="11">
        <f t="shared" si="4"/>
        <v>561.96</v>
      </c>
      <c r="M84" s="56"/>
      <c r="N84" s="60"/>
    </row>
    <row r="85" spans="2:14" x14ac:dyDescent="0.25">
      <c r="D85" t="s">
        <v>195</v>
      </c>
      <c r="F85" s="11"/>
      <c r="G85" s="11"/>
      <c r="H85" s="11"/>
      <c r="I85" s="11"/>
      <c r="K85" s="11"/>
      <c r="L85" s="11">
        <f>SUM(F85+G85+H85+I85+K85)</f>
        <v>0</v>
      </c>
      <c r="M85" s="56"/>
      <c r="N85" s="60">
        <v>2881.07</v>
      </c>
    </row>
    <row r="86" spans="2:14" ht="15.75" x14ac:dyDescent="0.25">
      <c r="B86" s="9" t="s">
        <v>50</v>
      </c>
      <c r="F86" s="11"/>
      <c r="G86" s="11"/>
      <c r="H86" s="11"/>
      <c r="I86" s="11"/>
      <c r="K86" s="11"/>
      <c r="L86" s="11">
        <f t="shared" si="4"/>
        <v>0</v>
      </c>
      <c r="M86" s="56"/>
      <c r="N86" s="60">
        <v>0</v>
      </c>
    </row>
    <row r="87" spans="2:14" x14ac:dyDescent="0.25">
      <c r="C87" t="s">
        <v>51</v>
      </c>
      <c r="F87" s="11"/>
      <c r="G87" s="11"/>
      <c r="H87" s="11"/>
      <c r="I87" s="11">
        <v>8096.52</v>
      </c>
      <c r="K87" s="11"/>
      <c r="L87" s="11">
        <f t="shared" si="4"/>
        <v>8096.52</v>
      </c>
      <c r="M87" s="56"/>
      <c r="N87" s="60">
        <v>5295.22</v>
      </c>
    </row>
    <row r="88" spans="2:14" x14ac:dyDescent="0.25">
      <c r="C88" t="s">
        <v>221</v>
      </c>
      <c r="F88" s="11"/>
      <c r="G88" s="11"/>
      <c r="I88" s="11">
        <f>286.64+1583.14</f>
        <v>1869.7800000000002</v>
      </c>
      <c r="J88" s="21" t="s">
        <v>207</v>
      </c>
      <c r="K88" s="11">
        <f>-73+23.66</f>
        <v>-49.34</v>
      </c>
      <c r="L88" s="11">
        <f t="shared" si="4"/>
        <v>1820.4400000000003</v>
      </c>
      <c r="M88" s="56"/>
      <c r="N88" s="60">
        <v>1469.3999999999999</v>
      </c>
    </row>
    <row r="89" spans="2:14" x14ac:dyDescent="0.25">
      <c r="C89" t="s">
        <v>52</v>
      </c>
      <c r="F89" s="11"/>
      <c r="G89" s="11"/>
      <c r="H89" s="11"/>
      <c r="I89" s="11">
        <v>393.25</v>
      </c>
      <c r="K89" s="11"/>
      <c r="L89" s="11">
        <f t="shared" si="4"/>
        <v>393.25</v>
      </c>
      <c r="M89" s="56"/>
      <c r="N89" s="60">
        <v>159.91999999999999</v>
      </c>
    </row>
    <row r="90" spans="2:14" x14ac:dyDescent="0.25">
      <c r="C90" t="s">
        <v>53</v>
      </c>
      <c r="F90" s="11"/>
      <c r="G90" s="11"/>
      <c r="H90" s="11"/>
      <c r="I90" s="11">
        <v>541.05999999999995</v>
      </c>
      <c r="K90" s="11"/>
      <c r="L90" s="11">
        <f t="shared" si="4"/>
        <v>541.05999999999995</v>
      </c>
      <c r="M90" s="56"/>
      <c r="N90" s="60">
        <v>676.54</v>
      </c>
    </row>
    <row r="91" spans="2:14" x14ac:dyDescent="0.25">
      <c r="C91" t="s">
        <v>197</v>
      </c>
      <c r="F91" s="11"/>
      <c r="G91" s="11"/>
      <c r="H91" s="11"/>
      <c r="I91" s="11">
        <v>582.24</v>
      </c>
      <c r="K91" s="11"/>
      <c r="L91" s="11">
        <f t="shared" si="4"/>
        <v>582.24</v>
      </c>
      <c r="M91" s="56"/>
      <c r="N91" s="60">
        <v>48.79</v>
      </c>
    </row>
    <row r="92" spans="2:14" x14ac:dyDescent="0.25">
      <c r="C92" t="s">
        <v>198</v>
      </c>
      <c r="F92" s="11"/>
      <c r="G92" s="11"/>
      <c r="H92" s="11"/>
      <c r="I92" s="11">
        <v>0</v>
      </c>
      <c r="K92" s="11"/>
      <c r="L92" s="11">
        <f t="shared" si="4"/>
        <v>0</v>
      </c>
      <c r="M92" s="56"/>
      <c r="N92" s="60">
        <v>215.91</v>
      </c>
    </row>
    <row r="93" spans="2:14" x14ac:dyDescent="0.25">
      <c r="C93" t="s">
        <v>36</v>
      </c>
      <c r="F93" s="11"/>
      <c r="G93" s="11"/>
      <c r="H93" s="11"/>
      <c r="I93" s="11">
        <v>98.78</v>
      </c>
      <c r="K93" s="11"/>
      <c r="L93" s="11">
        <f t="shared" si="4"/>
        <v>98.78</v>
      </c>
      <c r="M93" s="56"/>
      <c r="N93" s="60">
        <v>37.86</v>
      </c>
    </row>
    <row r="94" spans="2:14" x14ac:dyDescent="0.25">
      <c r="C94" t="s">
        <v>215</v>
      </c>
      <c r="F94" s="11"/>
      <c r="G94" s="11"/>
      <c r="H94" s="11"/>
      <c r="I94" s="11"/>
      <c r="J94" s="21" t="s">
        <v>209</v>
      </c>
      <c r="K94" s="11">
        <v>1450</v>
      </c>
      <c r="L94" s="11">
        <f t="shared" si="4"/>
        <v>1450</v>
      </c>
      <c r="M94" s="56"/>
      <c r="N94" s="60">
        <v>6826.41</v>
      </c>
    </row>
    <row r="95" spans="2:14" x14ac:dyDescent="0.25">
      <c r="C95" t="s">
        <v>34</v>
      </c>
      <c r="F95" s="11"/>
      <c r="G95" s="11"/>
      <c r="H95" s="11"/>
      <c r="I95" s="11">
        <f>11.16+45.9</f>
        <v>57.06</v>
      </c>
      <c r="K95" s="11"/>
      <c r="L95" s="11">
        <f t="shared" si="4"/>
        <v>57.06</v>
      </c>
      <c r="M95" s="56"/>
      <c r="N95" s="60">
        <v>0</v>
      </c>
    </row>
    <row r="96" spans="2:14" x14ac:dyDescent="0.25">
      <c r="C96" t="s">
        <v>210</v>
      </c>
      <c r="F96" s="11"/>
      <c r="G96" s="11"/>
      <c r="H96" s="11"/>
      <c r="I96" s="11"/>
      <c r="J96" s="21" t="s">
        <v>209</v>
      </c>
      <c r="K96" s="11">
        <v>530</v>
      </c>
      <c r="L96" s="11">
        <f t="shared" si="4"/>
        <v>530</v>
      </c>
      <c r="M96" s="56"/>
      <c r="N96" s="60">
        <v>911.51</v>
      </c>
    </row>
    <row r="97" spans="2:14" ht="15.75" x14ac:dyDescent="0.25">
      <c r="B97" s="9" t="s">
        <v>55</v>
      </c>
      <c r="F97" s="11"/>
      <c r="G97" s="11"/>
      <c r="H97" s="11"/>
      <c r="I97" s="11"/>
      <c r="K97" s="11"/>
      <c r="L97" s="11"/>
      <c r="M97" s="56"/>
      <c r="N97" s="60"/>
    </row>
    <row r="98" spans="2:14" x14ac:dyDescent="0.25">
      <c r="C98" t="s">
        <v>56</v>
      </c>
      <c r="F98" s="11"/>
      <c r="G98" s="11"/>
      <c r="H98" s="11"/>
      <c r="I98" s="11">
        <v>68.97</v>
      </c>
      <c r="K98" s="11"/>
      <c r="L98" s="11">
        <f t="shared" si="4"/>
        <v>68.97</v>
      </c>
      <c r="M98" s="56"/>
      <c r="N98" s="60">
        <v>534.62</v>
      </c>
    </row>
    <row r="99" spans="2:14" x14ac:dyDescent="0.25">
      <c r="C99" t="s">
        <v>196</v>
      </c>
      <c r="F99" s="11"/>
      <c r="G99" s="11"/>
      <c r="H99" s="11"/>
      <c r="I99" s="11"/>
      <c r="K99" s="11"/>
      <c r="L99" s="11">
        <f>SUM(F99+G99+H99+I99+K99)</f>
        <v>0</v>
      </c>
      <c r="M99" s="56"/>
      <c r="N99" s="60">
        <v>897.77</v>
      </c>
    </row>
    <row r="100" spans="2:14" x14ac:dyDescent="0.25">
      <c r="C100" t="s">
        <v>121</v>
      </c>
      <c r="F100" s="11"/>
      <c r="G100" s="11"/>
      <c r="H100" s="11"/>
      <c r="I100" s="11">
        <v>851.81</v>
      </c>
      <c r="K100" s="11"/>
      <c r="L100" s="11">
        <f t="shared" si="4"/>
        <v>851.81</v>
      </c>
      <c r="M100" s="56"/>
      <c r="N100" s="60">
        <v>543.12</v>
      </c>
    </row>
    <row r="101" spans="2:14" x14ac:dyDescent="0.25">
      <c r="C101" t="s">
        <v>59</v>
      </c>
      <c r="F101" s="11"/>
      <c r="G101" s="11"/>
      <c r="H101" s="11">
        <v>321.33999999999997</v>
      </c>
      <c r="I101" s="11">
        <v>186.71</v>
      </c>
      <c r="K101" s="11"/>
      <c r="L101" s="11">
        <f t="shared" si="4"/>
        <v>508.04999999999995</v>
      </c>
      <c r="M101" s="56"/>
      <c r="N101" s="60">
        <v>472.08000000000004</v>
      </c>
    </row>
    <row r="102" spans="2:14" x14ac:dyDescent="0.25">
      <c r="F102" s="11"/>
      <c r="G102" s="11"/>
      <c r="H102" s="11"/>
      <c r="I102" s="11"/>
      <c r="K102" s="11"/>
      <c r="L102" s="11">
        <f t="shared" si="4"/>
        <v>0</v>
      </c>
      <c r="M102" s="56"/>
      <c r="N102" s="60">
        <v>0</v>
      </c>
    </row>
    <row r="103" spans="2:14" ht="15.75" thickBot="1" x14ac:dyDescent="0.3">
      <c r="F103" s="15">
        <f>SUM(F69:F102)</f>
        <v>1.8189894035458565E-12</v>
      </c>
      <c r="G103" s="15">
        <f t="shared" ref="G103:L103" si="5">SUM(G69:G102)</f>
        <v>-1.1368683772161603E-13</v>
      </c>
      <c r="H103" s="15">
        <f t="shared" si="5"/>
        <v>0</v>
      </c>
      <c r="I103" s="15">
        <f t="shared" si="5"/>
        <v>0</v>
      </c>
      <c r="J103" s="11"/>
      <c r="K103" s="15">
        <f t="shared" si="5"/>
        <v>0</v>
      </c>
      <c r="L103" s="15">
        <f t="shared" si="5"/>
        <v>0</v>
      </c>
      <c r="M103" s="56"/>
      <c r="N103" s="64">
        <v>1.5916157281026244E-12</v>
      </c>
    </row>
    <row r="104" spans="2:14" ht="15.75" thickTop="1" x14ac:dyDescent="0.25">
      <c r="F104" s="11"/>
      <c r="G104" s="11" t="s">
        <v>116</v>
      </c>
      <c r="H104" s="11" t="s">
        <v>116</v>
      </c>
      <c r="I104" s="11" t="s">
        <v>116</v>
      </c>
      <c r="K104" s="11"/>
      <c r="L104" s="11"/>
      <c r="M104" s="56"/>
      <c r="N104" s="60"/>
    </row>
    <row r="105" spans="2:14" x14ac:dyDescent="0.25">
      <c r="G105" t="s">
        <v>117</v>
      </c>
      <c r="H105" t="s">
        <v>117</v>
      </c>
      <c r="I105" t="s">
        <v>117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A2E2-4730-439C-BE88-793FAFD9997B}">
  <dimension ref="A1:O59"/>
  <sheetViews>
    <sheetView workbookViewId="0">
      <selection sqref="A1:XFD1048576"/>
    </sheetView>
  </sheetViews>
  <sheetFormatPr defaultRowHeight="15" x14ac:dyDescent="0.25"/>
  <cols>
    <col min="1" max="1" width="2" customWidth="1"/>
    <col min="3" max="3" width="33.28515625" customWidth="1"/>
    <col min="4" max="4" width="12.5703125" customWidth="1"/>
    <col min="5" max="5" width="9.7109375" customWidth="1"/>
    <col min="6" max="6" width="1.42578125" customWidth="1"/>
    <col min="7" max="7" width="9.85546875" customWidth="1"/>
    <col min="8" max="8" width="10.28515625" customWidth="1"/>
    <col min="9" max="9" width="2.140625" customWidth="1"/>
    <col min="10" max="11" width="9.140625" customWidth="1"/>
    <col min="12" max="12" width="1.7109375" customWidth="1"/>
    <col min="13" max="13" width="8.85546875" customWidth="1"/>
    <col min="14" max="14" width="10.140625" customWidth="1"/>
    <col min="15" max="15" width="2" customWidth="1"/>
  </cols>
  <sheetData>
    <row r="1" spans="1:15" ht="21" x14ac:dyDescent="0.35">
      <c r="A1" s="7" t="s">
        <v>0</v>
      </c>
    </row>
    <row r="3" spans="1:15" ht="18.75" x14ac:dyDescent="0.3">
      <c r="A3" s="3" t="s">
        <v>26</v>
      </c>
      <c r="B3" s="3"/>
      <c r="C3" s="3"/>
      <c r="D3" s="2" t="s">
        <v>40</v>
      </c>
      <c r="E3" s="2"/>
      <c r="F3" s="2"/>
      <c r="G3" s="2" t="s">
        <v>39</v>
      </c>
      <c r="H3" s="3"/>
      <c r="I3" s="3"/>
      <c r="J3" s="10" t="s">
        <v>40</v>
      </c>
      <c r="K3" s="18"/>
      <c r="L3" s="3"/>
      <c r="M3" t="s">
        <v>39</v>
      </c>
      <c r="O3" s="3"/>
    </row>
    <row r="4" spans="1:15" x14ac:dyDescent="0.25">
      <c r="D4" s="5"/>
      <c r="E4" s="5">
        <v>2022</v>
      </c>
      <c r="G4" s="5"/>
      <c r="H4" s="5">
        <v>2021</v>
      </c>
      <c r="J4" s="16"/>
      <c r="K4" s="16">
        <v>2021</v>
      </c>
      <c r="L4" s="5"/>
      <c r="M4" s="5"/>
      <c r="N4" s="5">
        <v>2020</v>
      </c>
    </row>
    <row r="5" spans="1:15" x14ac:dyDescent="0.25">
      <c r="E5" t="s">
        <v>10</v>
      </c>
      <c r="H5" t="s">
        <v>10</v>
      </c>
      <c r="J5" s="17"/>
      <c r="K5" s="17" t="s">
        <v>10</v>
      </c>
      <c r="M5" s="4"/>
      <c r="N5" s="4" t="s">
        <v>10</v>
      </c>
    </row>
    <row r="6" spans="1:15" ht="15.75" x14ac:dyDescent="0.25">
      <c r="A6" s="9" t="s">
        <v>27</v>
      </c>
      <c r="J6" s="32"/>
      <c r="K6" s="32"/>
      <c r="L6" s="25"/>
      <c r="M6" s="25"/>
      <c r="N6" s="25"/>
      <c r="O6" s="25"/>
    </row>
    <row r="7" spans="1:15" x14ac:dyDescent="0.25">
      <c r="A7" t="s">
        <v>122</v>
      </c>
      <c r="D7" s="32"/>
      <c r="E7" s="32">
        <v>12000</v>
      </c>
      <c r="G7" s="25"/>
      <c r="H7" s="25">
        <v>11747</v>
      </c>
      <c r="J7" s="32"/>
      <c r="K7" s="32">
        <v>12000</v>
      </c>
      <c r="L7" s="25"/>
      <c r="M7" s="25"/>
      <c r="N7" s="25">
        <v>11753</v>
      </c>
      <c r="O7" s="25"/>
    </row>
    <row r="8" spans="1:15" x14ac:dyDescent="0.25">
      <c r="A8" t="s">
        <v>29</v>
      </c>
      <c r="D8" s="32"/>
      <c r="E8" s="32">
        <v>750</v>
      </c>
      <c r="G8" s="25"/>
      <c r="H8" s="25">
        <v>1097</v>
      </c>
      <c r="J8" s="32"/>
      <c r="K8" s="32">
        <v>600</v>
      </c>
      <c r="L8" s="25"/>
      <c r="M8" s="25"/>
      <c r="N8" s="25">
        <f>663+10</f>
        <v>673</v>
      </c>
      <c r="O8" s="25"/>
    </row>
    <row r="9" spans="1:15" x14ac:dyDescent="0.25">
      <c r="A9" t="s">
        <v>30</v>
      </c>
      <c r="D9" s="32"/>
      <c r="E9" s="32">
        <v>1500</v>
      </c>
      <c r="G9" s="25"/>
      <c r="H9" s="25">
        <v>1500</v>
      </c>
      <c r="J9" s="32"/>
      <c r="K9" s="32">
        <v>1500</v>
      </c>
      <c r="L9" s="25"/>
      <c r="M9" s="25"/>
      <c r="N9" s="25">
        <v>1500</v>
      </c>
      <c r="O9" s="25"/>
    </row>
    <row r="10" spans="1:15" x14ac:dyDescent="0.25">
      <c r="A10" t="s">
        <v>31</v>
      </c>
      <c r="D10" s="32"/>
      <c r="E10" s="32">
        <v>0</v>
      </c>
      <c r="G10" s="25"/>
      <c r="H10" s="25">
        <v>0</v>
      </c>
      <c r="J10" s="32"/>
      <c r="K10" s="32">
        <v>350</v>
      </c>
      <c r="L10" s="25"/>
      <c r="M10" s="25"/>
      <c r="N10" s="25">
        <v>300</v>
      </c>
      <c r="O10" s="25"/>
    </row>
    <row r="11" spans="1:15" x14ac:dyDescent="0.25">
      <c r="A11" t="s">
        <v>153</v>
      </c>
      <c r="D11" s="32"/>
      <c r="E11" s="32">
        <v>200</v>
      </c>
      <c r="G11" s="25"/>
      <c r="H11" s="25">
        <v>189</v>
      </c>
      <c r="J11" s="32"/>
      <c r="K11" s="32">
        <v>200</v>
      </c>
      <c r="L11" s="25"/>
      <c r="M11" s="25"/>
      <c r="N11" s="25">
        <v>77</v>
      </c>
      <c r="O11" s="25"/>
    </row>
    <row r="12" spans="1:15" x14ac:dyDescent="0.25">
      <c r="A12" t="s">
        <v>199</v>
      </c>
      <c r="D12" s="32"/>
      <c r="E12" s="32">
        <v>200</v>
      </c>
      <c r="G12" s="25"/>
      <c r="H12" s="25">
        <v>165</v>
      </c>
      <c r="J12" s="32"/>
      <c r="K12" s="32">
        <v>200</v>
      </c>
      <c r="L12" s="25"/>
      <c r="M12" s="25"/>
      <c r="N12" s="25">
        <v>175</v>
      </c>
      <c r="O12" s="25"/>
    </row>
    <row r="13" spans="1:15" x14ac:dyDescent="0.25">
      <c r="A13" t="s">
        <v>193</v>
      </c>
      <c r="D13" s="32"/>
      <c r="E13" s="32">
        <v>0</v>
      </c>
      <c r="G13" s="25"/>
      <c r="H13" s="25">
        <v>5000</v>
      </c>
      <c r="J13" s="32"/>
      <c r="K13" s="32">
        <v>0</v>
      </c>
      <c r="L13" s="25"/>
      <c r="M13" s="25"/>
      <c r="N13" s="25"/>
      <c r="O13" s="25"/>
    </row>
    <row r="14" spans="1:15" x14ac:dyDescent="0.25">
      <c r="A14" t="s">
        <v>172</v>
      </c>
      <c r="D14" s="32"/>
      <c r="E14" s="32">
        <v>0</v>
      </c>
      <c r="G14" s="25"/>
      <c r="H14" s="25">
        <v>1175</v>
      </c>
      <c r="J14" s="32"/>
      <c r="K14" s="32">
        <v>1175</v>
      </c>
      <c r="L14" s="25"/>
      <c r="M14" s="25"/>
      <c r="N14" s="25">
        <v>348</v>
      </c>
      <c r="O14" s="25"/>
    </row>
    <row r="15" spans="1:15" x14ac:dyDescent="0.25">
      <c r="A15" t="s">
        <v>152</v>
      </c>
      <c r="D15" s="32"/>
      <c r="E15" s="32">
        <v>1015</v>
      </c>
      <c r="G15" s="25"/>
      <c r="H15" s="25">
        <v>2064</v>
      </c>
      <c r="J15" s="32"/>
      <c r="K15" s="32">
        <v>2064</v>
      </c>
      <c r="L15" s="25"/>
      <c r="M15" s="25"/>
      <c r="N15" s="25">
        <f>867+776</f>
        <v>1643</v>
      </c>
      <c r="O15" s="25"/>
    </row>
    <row r="16" spans="1:15" x14ac:dyDescent="0.25">
      <c r="A16" t="s">
        <v>200</v>
      </c>
      <c r="D16" s="32"/>
      <c r="E16" s="32">
        <v>3060</v>
      </c>
      <c r="G16" s="25" t="s">
        <v>64</v>
      </c>
      <c r="H16" s="25">
        <v>4625</v>
      </c>
      <c r="J16" s="32" t="s">
        <v>64</v>
      </c>
      <c r="K16" s="32">
        <v>4750</v>
      </c>
      <c r="L16" s="25"/>
      <c r="M16" s="25"/>
      <c r="N16" s="25">
        <v>0</v>
      </c>
      <c r="O16" s="25"/>
    </row>
    <row r="17" spans="1:15" x14ac:dyDescent="0.25">
      <c r="A17" t="s">
        <v>35</v>
      </c>
      <c r="D17" s="32"/>
      <c r="E17" s="32">
        <v>250</v>
      </c>
      <c r="G17" s="25"/>
      <c r="H17" s="25">
        <v>250</v>
      </c>
      <c r="J17" s="32"/>
      <c r="K17" s="32">
        <v>0</v>
      </c>
      <c r="L17" s="25"/>
      <c r="M17" s="25"/>
      <c r="N17" s="25">
        <v>0</v>
      </c>
      <c r="O17" s="25"/>
    </row>
    <row r="18" spans="1:15" x14ac:dyDescent="0.25">
      <c r="A18" t="s">
        <v>36</v>
      </c>
      <c r="D18" s="32"/>
      <c r="E18" s="32">
        <v>500</v>
      </c>
      <c r="G18" s="25"/>
      <c r="H18" s="25">
        <v>500</v>
      </c>
      <c r="J18" s="32"/>
      <c r="K18" s="32">
        <v>500</v>
      </c>
      <c r="L18" s="25"/>
      <c r="M18" s="25"/>
      <c r="N18" s="25">
        <v>500</v>
      </c>
      <c r="O18" s="25"/>
    </row>
    <row r="19" spans="1:15" x14ac:dyDescent="0.25">
      <c r="A19" t="s">
        <v>201</v>
      </c>
      <c r="D19" s="32"/>
      <c r="E19" s="32">
        <v>1400</v>
      </c>
      <c r="G19" s="25"/>
      <c r="H19" s="25">
        <f>1424</f>
        <v>1424</v>
      </c>
      <c r="J19" s="32"/>
      <c r="K19" s="32">
        <v>1000</v>
      </c>
      <c r="L19" s="25"/>
      <c r="M19" s="25"/>
      <c r="N19" s="25">
        <f>14476+1088</f>
        <v>15564</v>
      </c>
      <c r="O19" s="25"/>
    </row>
    <row r="20" spans="1:15" x14ac:dyDescent="0.25">
      <c r="A20" t="s">
        <v>38</v>
      </c>
      <c r="D20" s="32"/>
      <c r="E20" s="32">
        <v>5</v>
      </c>
      <c r="G20" s="25"/>
      <c r="H20" s="25">
        <v>5</v>
      </c>
      <c r="J20" s="32"/>
      <c r="K20" s="32">
        <v>5</v>
      </c>
      <c r="L20" s="25"/>
      <c r="M20" s="25"/>
      <c r="N20" s="25">
        <v>4</v>
      </c>
      <c r="O20" s="25"/>
    </row>
    <row r="21" spans="1:15" ht="15.75" x14ac:dyDescent="0.25">
      <c r="A21" s="9" t="s">
        <v>49</v>
      </c>
      <c r="D21" s="32"/>
      <c r="E21" s="34">
        <f>SUM(E7:E20)</f>
        <v>20880</v>
      </c>
      <c r="G21" s="25"/>
      <c r="H21" s="35">
        <f>SUM(H7:H20)</f>
        <v>29741</v>
      </c>
      <c r="J21" s="32"/>
      <c r="K21" s="34">
        <f>SUM(K7:K20)</f>
        <v>24344</v>
      </c>
      <c r="L21" s="25"/>
      <c r="M21" s="25"/>
      <c r="N21" s="35">
        <f>SUM(N7:N20)</f>
        <v>32537</v>
      </c>
      <c r="O21" s="25"/>
    </row>
    <row r="22" spans="1:15" x14ac:dyDescent="0.25">
      <c r="D22" s="32"/>
      <c r="E22" s="32"/>
      <c r="G22" s="25"/>
      <c r="H22" s="25"/>
      <c r="J22" s="32"/>
      <c r="K22" s="32"/>
      <c r="L22" s="25"/>
      <c r="M22" s="25"/>
      <c r="N22" s="25"/>
      <c r="O22" s="25"/>
    </row>
    <row r="23" spans="1:15" ht="18.75" x14ac:dyDescent="0.3">
      <c r="A23" s="3" t="s">
        <v>41</v>
      </c>
      <c r="D23" s="32"/>
      <c r="E23" s="32"/>
      <c r="G23" s="25"/>
      <c r="H23" s="25"/>
      <c r="J23" s="32"/>
      <c r="K23" s="32"/>
      <c r="L23" s="25"/>
      <c r="M23" s="25"/>
      <c r="N23" s="25"/>
      <c r="O23" s="25"/>
    </row>
    <row r="24" spans="1:15" x14ac:dyDescent="0.25">
      <c r="A24" s="2" t="s">
        <v>42</v>
      </c>
      <c r="D24" s="32"/>
      <c r="E24" s="32"/>
      <c r="G24" s="25"/>
      <c r="H24" s="25"/>
      <c r="J24" s="32"/>
      <c r="K24" s="32"/>
      <c r="L24" s="25"/>
      <c r="M24" s="25"/>
      <c r="N24" s="25"/>
      <c r="O24" s="25"/>
    </row>
    <row r="25" spans="1:15" x14ac:dyDescent="0.25">
      <c r="B25" t="s">
        <v>43</v>
      </c>
      <c r="D25" s="32">
        <v>1100</v>
      </c>
      <c r="E25" s="32"/>
      <c r="G25" s="25">
        <v>913</v>
      </c>
      <c r="H25" s="25"/>
      <c r="J25" s="32">
        <v>1200</v>
      </c>
      <c r="K25" s="32"/>
      <c r="L25" s="25"/>
      <c r="M25" s="25">
        <f>1325-212</f>
        <v>1113</v>
      </c>
      <c r="N25" s="25"/>
      <c r="O25" s="25"/>
    </row>
    <row r="26" spans="1:15" x14ac:dyDescent="0.25">
      <c r="B26" t="s">
        <v>103</v>
      </c>
      <c r="D26" s="32"/>
      <c r="E26" s="32"/>
      <c r="G26" s="25" t="s">
        <v>64</v>
      </c>
      <c r="H26" s="25"/>
      <c r="J26" s="32"/>
      <c r="K26" s="32"/>
      <c r="L26" s="25"/>
      <c r="M26" s="25"/>
      <c r="N26" s="25"/>
      <c r="O26" s="25"/>
    </row>
    <row r="27" spans="1:15" x14ac:dyDescent="0.25">
      <c r="B27" t="s">
        <v>104</v>
      </c>
      <c r="D27" s="32">
        <v>750</v>
      </c>
      <c r="E27" s="32"/>
      <c r="G27" s="25">
        <f>82+445</f>
        <v>527</v>
      </c>
      <c r="H27" s="25"/>
      <c r="J27" s="32">
        <v>750</v>
      </c>
      <c r="K27" s="32"/>
      <c r="L27" s="25"/>
      <c r="M27" s="25">
        <f>147+578</f>
        <v>725</v>
      </c>
      <c r="N27" s="25"/>
      <c r="O27" s="25"/>
    </row>
    <row r="28" spans="1:15" x14ac:dyDescent="0.25">
      <c r="B28" t="s">
        <v>45</v>
      </c>
      <c r="D28" s="32">
        <v>600</v>
      </c>
      <c r="E28" s="32"/>
      <c r="G28" s="25">
        <v>602</v>
      </c>
      <c r="H28" s="25"/>
      <c r="J28" s="32">
        <v>500</v>
      </c>
      <c r="K28" s="32"/>
      <c r="L28" s="25"/>
      <c r="M28" s="25">
        <v>541</v>
      </c>
      <c r="N28" s="25"/>
      <c r="O28" s="25"/>
    </row>
    <row r="29" spans="1:15" x14ac:dyDescent="0.25">
      <c r="B29" t="s">
        <v>46</v>
      </c>
      <c r="D29" s="32">
        <v>650</v>
      </c>
      <c r="E29" s="32"/>
      <c r="G29" s="25">
        <v>629</v>
      </c>
      <c r="H29" s="25"/>
      <c r="J29" s="32">
        <v>600</v>
      </c>
      <c r="K29" s="32"/>
      <c r="L29" s="25"/>
      <c r="M29" s="25">
        <v>504</v>
      </c>
      <c r="N29" s="25"/>
      <c r="O29" s="25"/>
    </row>
    <row r="30" spans="1:15" x14ac:dyDescent="0.25">
      <c r="B30" t="s">
        <v>47</v>
      </c>
      <c r="D30" s="32">
        <v>1150</v>
      </c>
      <c r="E30" s="32"/>
      <c r="G30" s="25">
        <v>1136</v>
      </c>
      <c r="H30" s="25"/>
      <c r="J30" s="32">
        <v>1100</v>
      </c>
      <c r="K30" s="32"/>
      <c r="L30" s="25"/>
      <c r="M30" s="25">
        <v>1093</v>
      </c>
      <c r="N30" s="25"/>
      <c r="O30" s="25"/>
    </row>
    <row r="31" spans="1:15" x14ac:dyDescent="0.25">
      <c r="B31" s="45" t="s">
        <v>163</v>
      </c>
      <c r="C31" s="45"/>
      <c r="D31" s="51">
        <v>3515</v>
      </c>
      <c r="E31" s="32"/>
      <c r="G31" s="28">
        <v>2881</v>
      </c>
      <c r="H31" s="25"/>
      <c r="J31" s="51">
        <v>4500</v>
      </c>
      <c r="K31" s="32"/>
      <c r="L31" s="25"/>
      <c r="M31" s="28">
        <f>6715</f>
        <v>6715</v>
      </c>
      <c r="N31" s="25"/>
      <c r="O31" s="25"/>
    </row>
    <row r="32" spans="1:15" x14ac:dyDescent="0.25">
      <c r="D32" s="32"/>
      <c r="E32" s="32">
        <f>SUM(D25:D31)</f>
        <v>7765</v>
      </c>
      <c r="G32" s="25"/>
      <c r="H32" s="25">
        <f>SUM(G25:G31)</f>
        <v>6688</v>
      </c>
      <c r="J32" s="32"/>
      <c r="K32" s="32">
        <f>SUM(J25:J31)</f>
        <v>8650</v>
      </c>
      <c r="L32" s="25"/>
      <c r="M32" s="25"/>
      <c r="N32" s="25">
        <f>SUM(M25:M31)</f>
        <v>10691</v>
      </c>
      <c r="O32" s="25"/>
    </row>
    <row r="33" spans="1:15" ht="15.75" x14ac:dyDescent="0.25">
      <c r="A33" s="9" t="s">
        <v>50</v>
      </c>
      <c r="D33" s="32"/>
      <c r="E33" s="32"/>
      <c r="G33" s="25"/>
      <c r="H33" s="25"/>
      <c r="J33" s="32"/>
      <c r="K33" s="32"/>
      <c r="L33" s="25"/>
      <c r="M33" s="25"/>
      <c r="N33" s="25"/>
      <c r="O33" s="25"/>
    </row>
    <row r="34" spans="1:15" x14ac:dyDescent="0.25">
      <c r="B34" t="s">
        <v>51</v>
      </c>
      <c r="D34" s="32">
        <v>7000</v>
      </c>
      <c r="E34" s="32"/>
      <c r="G34" s="25">
        <f>5295+1469</f>
        <v>6764</v>
      </c>
      <c r="H34" s="25"/>
      <c r="J34" s="32">
        <v>7500</v>
      </c>
      <c r="K34" s="32"/>
      <c r="L34" s="25"/>
      <c r="M34" s="25">
        <f>6353+1376</f>
        <v>7729</v>
      </c>
      <c r="N34" s="25"/>
      <c r="O34" s="25"/>
    </row>
    <row r="35" spans="1:15" x14ac:dyDescent="0.25">
      <c r="B35" t="s">
        <v>161</v>
      </c>
      <c r="D35" s="32">
        <v>100</v>
      </c>
      <c r="E35" s="32"/>
      <c r="G35" s="25">
        <v>0</v>
      </c>
      <c r="H35" s="25"/>
      <c r="J35" s="32">
        <v>0</v>
      </c>
      <c r="K35" s="32"/>
      <c r="L35" s="25"/>
      <c r="M35" s="25">
        <v>260</v>
      </c>
      <c r="N35" s="25"/>
      <c r="O35" s="25"/>
    </row>
    <row r="36" spans="1:15" x14ac:dyDescent="0.25">
      <c r="B36" t="s">
        <v>52</v>
      </c>
      <c r="D36" s="32">
        <v>500</v>
      </c>
      <c r="E36" s="32"/>
      <c r="G36" s="25">
        <v>160</v>
      </c>
      <c r="H36" s="25"/>
      <c r="J36" s="32">
        <v>500</v>
      </c>
      <c r="K36" s="32"/>
      <c r="L36" s="25"/>
      <c r="M36" s="25">
        <v>707</v>
      </c>
      <c r="N36" s="25"/>
      <c r="O36" s="25"/>
    </row>
    <row r="37" spans="1:15" x14ac:dyDescent="0.25">
      <c r="B37" t="s">
        <v>53</v>
      </c>
      <c r="D37" s="32">
        <v>500</v>
      </c>
      <c r="E37" s="32"/>
      <c r="G37" s="25">
        <v>677</v>
      </c>
      <c r="H37" s="25"/>
      <c r="J37" s="32">
        <v>500</v>
      </c>
      <c r="K37" s="32"/>
      <c r="L37" s="25"/>
      <c r="M37" s="25">
        <v>0</v>
      </c>
      <c r="N37" s="25"/>
      <c r="O37" s="25"/>
    </row>
    <row r="38" spans="1:15" x14ac:dyDescent="0.25">
      <c r="B38" t="s">
        <v>184</v>
      </c>
      <c r="D38" s="32">
        <v>2450</v>
      </c>
      <c r="E38" s="32"/>
      <c r="G38" s="25">
        <v>6826</v>
      </c>
      <c r="H38" s="25"/>
      <c r="J38" s="32">
        <f>9245-3000+2064</f>
        <v>8309</v>
      </c>
      <c r="K38" s="32"/>
      <c r="L38" s="25"/>
      <c r="M38" s="25">
        <v>0</v>
      </c>
      <c r="N38" s="25"/>
      <c r="O38" s="25"/>
    </row>
    <row r="39" spans="1:15" x14ac:dyDescent="0.25">
      <c r="B39" t="s">
        <v>129</v>
      </c>
      <c r="D39" s="32">
        <v>0</v>
      </c>
      <c r="E39" s="32"/>
      <c r="G39" s="25">
        <v>912</v>
      </c>
      <c r="H39" s="25"/>
      <c r="J39" s="32">
        <v>0</v>
      </c>
      <c r="K39" s="32"/>
      <c r="L39" s="25"/>
      <c r="M39" s="25">
        <v>11619</v>
      </c>
      <c r="N39" s="25"/>
      <c r="O39" s="25"/>
    </row>
    <row r="40" spans="1:15" x14ac:dyDescent="0.25">
      <c r="B40" t="s">
        <v>166</v>
      </c>
      <c r="D40" s="32">
        <v>400</v>
      </c>
      <c r="E40" s="32"/>
      <c r="G40" s="25">
        <v>216</v>
      </c>
      <c r="H40" s="25"/>
      <c r="J40" s="32">
        <v>600</v>
      </c>
      <c r="K40" s="32"/>
      <c r="L40" s="25"/>
      <c r="M40" s="25">
        <v>216</v>
      </c>
      <c r="N40" s="25"/>
      <c r="O40" s="25"/>
    </row>
    <row r="41" spans="1:15" x14ac:dyDescent="0.25">
      <c r="B41" t="s">
        <v>54</v>
      </c>
      <c r="D41" s="32">
        <v>100</v>
      </c>
      <c r="E41" s="32"/>
      <c r="G41" s="25">
        <v>49</v>
      </c>
      <c r="H41" s="25"/>
      <c r="J41" s="32">
        <v>100</v>
      </c>
      <c r="K41" s="32"/>
      <c r="L41" s="25"/>
      <c r="M41" s="25">
        <f>848-216</f>
        <v>632</v>
      </c>
      <c r="N41" s="25"/>
      <c r="O41" s="25"/>
    </row>
    <row r="42" spans="1:15" x14ac:dyDescent="0.25">
      <c r="B42" t="s">
        <v>36</v>
      </c>
      <c r="D42" s="33">
        <v>50</v>
      </c>
      <c r="E42" s="32"/>
      <c r="G42" s="28">
        <v>38</v>
      </c>
      <c r="H42" s="25"/>
      <c r="J42" s="33">
        <v>0</v>
      </c>
      <c r="K42" s="32"/>
      <c r="L42" s="25"/>
      <c r="M42" s="28">
        <v>0</v>
      </c>
      <c r="N42" s="25"/>
      <c r="O42" s="25"/>
    </row>
    <row r="43" spans="1:15" x14ac:dyDescent="0.25">
      <c r="D43" s="32"/>
      <c r="E43" s="32">
        <f>SUM(D34:D42)</f>
        <v>11100</v>
      </c>
      <c r="G43" s="25"/>
      <c r="H43" s="25">
        <f>SUM(G34:G42)</f>
        <v>15642</v>
      </c>
      <c r="J43" s="32"/>
      <c r="K43" s="32">
        <f>SUM(J34:J42)</f>
        <v>17509</v>
      </c>
      <c r="L43" s="25"/>
      <c r="M43" s="25"/>
      <c r="N43" s="25">
        <f>SUM(M34:M42)</f>
        <v>21163</v>
      </c>
      <c r="O43" s="25"/>
    </row>
    <row r="44" spans="1:15" ht="15.75" x14ac:dyDescent="0.25">
      <c r="A44" s="9" t="s">
        <v>55</v>
      </c>
      <c r="D44" s="32"/>
      <c r="E44" s="32"/>
      <c r="G44" s="25"/>
      <c r="H44" s="25"/>
      <c r="J44" s="32"/>
      <c r="K44" s="32"/>
      <c r="L44" s="25"/>
      <c r="M44" s="25"/>
      <c r="N44" s="25"/>
      <c r="O44" s="25"/>
    </row>
    <row r="45" spans="1:15" x14ac:dyDescent="0.25">
      <c r="B45" t="s">
        <v>56</v>
      </c>
      <c r="D45" s="32">
        <v>550</v>
      </c>
      <c r="E45" s="32"/>
      <c r="G45" s="25">
        <v>535</v>
      </c>
      <c r="H45" s="25"/>
      <c r="J45" s="32">
        <v>500</v>
      </c>
      <c r="K45" s="32"/>
      <c r="L45" s="25"/>
      <c r="M45" s="25">
        <v>676</v>
      </c>
      <c r="N45" s="25"/>
      <c r="O45" s="25"/>
    </row>
    <row r="46" spans="1:15" x14ac:dyDescent="0.25">
      <c r="B46" t="s">
        <v>169</v>
      </c>
      <c r="D46" s="32">
        <v>0</v>
      </c>
      <c r="E46" s="32"/>
      <c r="G46" s="25">
        <v>898</v>
      </c>
      <c r="H46" s="25"/>
      <c r="J46" s="32">
        <v>900</v>
      </c>
      <c r="K46" s="32"/>
      <c r="L46" s="25"/>
      <c r="M46" s="25">
        <v>0</v>
      </c>
      <c r="N46" s="25"/>
      <c r="O46" s="25"/>
    </row>
    <row r="47" spans="1:15" x14ac:dyDescent="0.25">
      <c r="B47" t="s">
        <v>121</v>
      </c>
      <c r="D47" s="32">
        <v>400</v>
      </c>
      <c r="E47" s="32"/>
      <c r="G47" s="25">
        <v>543</v>
      </c>
      <c r="H47" s="25"/>
      <c r="J47" s="32">
        <v>300</v>
      </c>
      <c r="K47" s="32"/>
      <c r="L47" s="25"/>
      <c r="M47" s="25">
        <v>395</v>
      </c>
      <c r="N47" s="25"/>
      <c r="O47" s="25"/>
    </row>
    <row r="48" spans="1:15" x14ac:dyDescent="0.25">
      <c r="B48" t="s">
        <v>59</v>
      </c>
      <c r="D48" s="33">
        <v>500</v>
      </c>
      <c r="E48" s="32"/>
      <c r="G48" s="28">
        <v>472</v>
      </c>
      <c r="H48" s="25"/>
      <c r="J48" s="33">
        <v>450</v>
      </c>
      <c r="K48" s="32"/>
      <c r="L48" s="25"/>
      <c r="M48" s="28">
        <v>589</v>
      </c>
      <c r="N48" s="25"/>
      <c r="O48" s="25"/>
    </row>
    <row r="49" spans="1:15" x14ac:dyDescent="0.25">
      <c r="D49" s="32"/>
      <c r="E49" s="33">
        <f>SUM(D45:D48)</f>
        <v>1450</v>
      </c>
      <c r="G49" s="25"/>
      <c r="H49" s="28">
        <f>SUM(G45:G48)</f>
        <v>2448</v>
      </c>
      <c r="J49" s="32"/>
      <c r="K49" s="33">
        <f>SUM(J45:J48)</f>
        <v>2150</v>
      </c>
      <c r="L49" s="25"/>
      <c r="M49" s="25"/>
      <c r="N49" s="28">
        <f>SUM(M45:M48)</f>
        <v>1660</v>
      </c>
      <c r="O49" s="25"/>
    </row>
    <row r="50" spans="1:15" ht="15.75" x14ac:dyDescent="0.25">
      <c r="A50" s="9" t="s">
        <v>60</v>
      </c>
      <c r="D50" s="32"/>
      <c r="E50" s="34">
        <f>SUM(E23:E49)</f>
        <v>20315</v>
      </c>
      <c r="G50" s="25"/>
      <c r="H50" s="35">
        <f>SUM(H23:H49)</f>
        <v>24778</v>
      </c>
      <c r="J50" s="32"/>
      <c r="K50" s="34">
        <f>SUM(K23:K49)</f>
        <v>28309</v>
      </c>
      <c r="L50" s="25"/>
      <c r="M50" s="25"/>
      <c r="N50" s="35">
        <f>SUM(N23:N49)</f>
        <v>33514</v>
      </c>
      <c r="O50" s="25"/>
    </row>
    <row r="51" spans="1:15" x14ac:dyDescent="0.25">
      <c r="D51" s="32"/>
      <c r="E51" s="32"/>
      <c r="G51" s="25"/>
      <c r="H51" s="25"/>
      <c r="J51" s="32"/>
      <c r="K51" s="32"/>
      <c r="L51" s="25"/>
      <c r="M51" s="25"/>
      <c r="N51" s="25"/>
      <c r="O51" s="25"/>
    </row>
    <row r="52" spans="1:15" ht="15.75" thickBot="1" x14ac:dyDescent="0.3">
      <c r="A52" t="s">
        <v>61</v>
      </c>
      <c r="D52" s="32"/>
      <c r="E52" s="36">
        <f>E21-E50</f>
        <v>565</v>
      </c>
      <c r="G52" s="25"/>
      <c r="H52" s="37">
        <f>H21-H50</f>
        <v>4963</v>
      </c>
      <c r="J52" s="32"/>
      <c r="K52" s="36">
        <f>K21-K50</f>
        <v>-3965</v>
      </c>
      <c r="L52" s="25"/>
      <c r="M52" s="25"/>
      <c r="N52" s="37">
        <f>N21-N50</f>
        <v>-977</v>
      </c>
      <c r="O52" s="25"/>
    </row>
    <row r="53" spans="1:15" ht="15.75" thickTop="1" x14ac:dyDescent="0.25"/>
    <row r="54" spans="1:15" x14ac:dyDescent="0.25">
      <c r="A54" s="44" t="s">
        <v>163</v>
      </c>
      <c r="B54" s="44"/>
      <c r="C54" s="44"/>
      <c r="D54" s="44"/>
      <c r="E54" s="53"/>
      <c r="F54" s="44"/>
      <c r="G54" s="44" t="s">
        <v>163</v>
      </c>
      <c r="H54" s="44"/>
      <c r="I54" s="44"/>
      <c r="J54" s="45"/>
    </row>
    <row r="55" spans="1:15" x14ac:dyDescent="0.25">
      <c r="A55" s="45" t="s">
        <v>149</v>
      </c>
      <c r="B55" s="45"/>
      <c r="C55" s="45"/>
      <c r="D55" s="46">
        <v>2500</v>
      </c>
      <c r="F55" s="45"/>
      <c r="G55" s="45" t="s">
        <v>149</v>
      </c>
      <c r="H55" s="45"/>
      <c r="I55" s="45"/>
      <c r="J55" s="46">
        <v>2500</v>
      </c>
    </row>
    <row r="56" spans="1:15" x14ac:dyDescent="0.25">
      <c r="A56" s="45" t="s">
        <v>180</v>
      </c>
      <c r="B56" s="45"/>
      <c r="C56" s="45"/>
      <c r="D56" s="46">
        <v>1015</v>
      </c>
      <c r="F56" s="45"/>
      <c r="G56" s="45" t="s">
        <v>180</v>
      </c>
      <c r="H56" s="45"/>
      <c r="I56" s="45"/>
      <c r="J56" s="46">
        <v>0</v>
      </c>
    </row>
    <row r="57" spans="1:15" x14ac:dyDescent="0.25">
      <c r="A57" s="45" t="s">
        <v>168</v>
      </c>
      <c r="B57" s="45"/>
      <c r="C57" s="45"/>
      <c r="D57" s="45">
        <v>0</v>
      </c>
      <c r="F57" s="45"/>
      <c r="G57" s="45" t="s">
        <v>168</v>
      </c>
      <c r="H57" s="45"/>
      <c r="I57" s="45"/>
      <c r="J57" s="46">
        <v>2000</v>
      </c>
      <c r="N57" s="25"/>
    </row>
    <row r="58" spans="1:15" ht="15.75" thickBot="1" x14ac:dyDescent="0.3">
      <c r="A58" s="45"/>
      <c r="B58" s="45"/>
      <c r="C58" s="45"/>
      <c r="D58" s="47">
        <f>SUM(D55:D57)</f>
        <v>3515</v>
      </c>
      <c r="F58" s="45"/>
      <c r="G58" s="45"/>
      <c r="H58" s="45"/>
      <c r="I58" s="45"/>
      <c r="J58" s="47">
        <f>SUM(J55:J57)</f>
        <v>4500</v>
      </c>
    </row>
    <row r="59" spans="1:15" ht="15.75" thickTop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FE8C-639D-453B-8DD8-43079AB3B1D4}">
  <dimension ref="A1:H36"/>
  <sheetViews>
    <sheetView topLeftCell="A10" workbookViewId="0">
      <selection activeCell="A10" sqref="A1:XFD1048576"/>
    </sheetView>
  </sheetViews>
  <sheetFormatPr defaultRowHeight="15" x14ac:dyDescent="0.25"/>
  <cols>
    <col min="1" max="1" width="2" customWidth="1"/>
    <col min="2" max="2" width="36.5703125" customWidth="1"/>
    <col min="3" max="3" width="14.5703125" customWidth="1"/>
    <col min="4" max="4" width="13" customWidth="1"/>
    <col min="5" max="5" width="2" customWidth="1"/>
    <col min="6" max="6" width="13.42578125" customWidth="1"/>
    <col min="7" max="7" width="15.42578125" customWidth="1"/>
    <col min="8" max="8" width="2.140625" customWidth="1"/>
  </cols>
  <sheetData>
    <row r="1" spans="1:8" ht="21" x14ac:dyDescent="0.35">
      <c r="A1" s="7" t="s">
        <v>0</v>
      </c>
      <c r="B1" s="7"/>
      <c r="C1" s="7"/>
      <c r="D1" s="7"/>
      <c r="E1" s="7"/>
      <c r="F1" s="7"/>
      <c r="G1" s="7"/>
      <c r="H1" s="7"/>
    </row>
    <row r="3" spans="1:8" ht="21" x14ac:dyDescent="0.35">
      <c r="A3" s="8" t="s">
        <v>1</v>
      </c>
    </row>
    <row r="4" spans="1:8" x14ac:dyDescent="0.25">
      <c r="D4" s="49">
        <v>44561</v>
      </c>
      <c r="G4" s="49">
        <v>44196</v>
      </c>
    </row>
    <row r="5" spans="1:8" ht="18.75" x14ac:dyDescent="0.3">
      <c r="B5" s="3" t="s">
        <v>2</v>
      </c>
      <c r="D5" s="4" t="s">
        <v>9</v>
      </c>
      <c r="E5" s="3"/>
      <c r="G5" s="4" t="s">
        <v>9</v>
      </c>
      <c r="H5" s="3"/>
    </row>
    <row r="6" spans="1:8" x14ac:dyDescent="0.25">
      <c r="A6" s="2" t="s">
        <v>12</v>
      </c>
      <c r="C6" s="25"/>
      <c r="D6" s="25"/>
      <c r="F6" s="25"/>
      <c r="G6" s="25"/>
    </row>
    <row r="7" spans="1:8" x14ac:dyDescent="0.25">
      <c r="B7" t="s">
        <v>13</v>
      </c>
      <c r="C7" s="25"/>
      <c r="D7" s="26" t="s">
        <v>11</v>
      </c>
      <c r="F7" s="25"/>
      <c r="G7" s="26" t="s">
        <v>11</v>
      </c>
    </row>
    <row r="8" spans="1:8" x14ac:dyDescent="0.25">
      <c r="C8" s="25"/>
      <c r="D8" s="25"/>
      <c r="F8" s="25"/>
      <c r="G8" s="25"/>
    </row>
    <row r="9" spans="1:8" x14ac:dyDescent="0.25">
      <c r="A9" s="2" t="s">
        <v>3</v>
      </c>
      <c r="C9" s="25"/>
      <c r="D9" s="25"/>
      <c r="F9" s="25"/>
      <c r="G9" s="25"/>
    </row>
    <row r="10" spans="1:8" x14ac:dyDescent="0.25">
      <c r="B10" t="s">
        <v>21</v>
      </c>
      <c r="C10" s="25"/>
      <c r="D10" s="25"/>
      <c r="F10" s="25"/>
      <c r="G10" s="25"/>
    </row>
    <row r="11" spans="1:8" x14ac:dyDescent="0.25">
      <c r="B11" t="s">
        <v>19</v>
      </c>
      <c r="C11" s="25">
        <v>24</v>
      </c>
      <c r="D11" s="25"/>
      <c r="F11" s="25">
        <v>37</v>
      </c>
      <c r="G11" s="25"/>
    </row>
    <row r="12" spans="1:8" x14ac:dyDescent="0.25">
      <c r="B12" s="6" t="s">
        <v>20</v>
      </c>
      <c r="C12">
        <v>900</v>
      </c>
      <c r="F12" s="25">
        <v>1150</v>
      </c>
      <c r="G12" s="25"/>
    </row>
    <row r="13" spans="1:8" x14ac:dyDescent="0.25">
      <c r="B13" s="6" t="s">
        <v>178</v>
      </c>
      <c r="C13">
        <v>125</v>
      </c>
      <c r="F13" s="25">
        <v>0</v>
      </c>
      <c r="G13" s="25"/>
    </row>
    <row r="14" spans="1:8" x14ac:dyDescent="0.25">
      <c r="B14" t="s">
        <v>155</v>
      </c>
      <c r="C14" s="25">
        <v>2450</v>
      </c>
      <c r="F14" s="25">
        <v>989</v>
      </c>
      <c r="G14" s="25"/>
    </row>
    <row r="15" spans="1:8" x14ac:dyDescent="0.25">
      <c r="B15" t="s">
        <v>165</v>
      </c>
      <c r="C15" s="25">
        <v>0</v>
      </c>
      <c r="D15" s="25"/>
      <c r="F15" s="25">
        <v>300</v>
      </c>
      <c r="G15" s="25"/>
    </row>
    <row r="16" spans="1:8" x14ac:dyDescent="0.25">
      <c r="B16" s="6" t="s">
        <v>4</v>
      </c>
      <c r="C16" s="28">
        <v>0</v>
      </c>
      <c r="D16" s="25"/>
      <c r="E16" s="6"/>
      <c r="F16" s="28">
        <v>0</v>
      </c>
      <c r="G16" s="25"/>
      <c r="H16" s="6"/>
    </row>
    <row r="17" spans="1:8" x14ac:dyDescent="0.25">
      <c r="C17" s="25"/>
      <c r="D17" s="25">
        <f>SUM(C10:C16)</f>
        <v>3499</v>
      </c>
      <c r="F17" s="25"/>
      <c r="G17" s="25">
        <f>SUM(F10:F16)</f>
        <v>2476</v>
      </c>
    </row>
    <row r="18" spans="1:8" x14ac:dyDescent="0.25">
      <c r="A18" s="2" t="s">
        <v>5</v>
      </c>
      <c r="B18" s="2"/>
      <c r="C18" s="29"/>
      <c r="D18" s="29"/>
      <c r="E18" s="2"/>
      <c r="F18" s="29"/>
      <c r="G18" s="29"/>
      <c r="H18" s="2"/>
    </row>
    <row r="19" spans="1:8" x14ac:dyDescent="0.25">
      <c r="B19" t="s">
        <v>6</v>
      </c>
      <c r="C19" s="25">
        <v>1194</v>
      </c>
      <c r="D19" s="25"/>
      <c r="F19" s="25">
        <v>100</v>
      </c>
      <c r="G19" s="25"/>
    </row>
    <row r="20" spans="1:8" x14ac:dyDescent="0.25">
      <c r="B20" t="s">
        <v>7</v>
      </c>
      <c r="C20" s="25">
        <v>46715</v>
      </c>
      <c r="D20" s="25"/>
      <c r="F20" s="25">
        <f>45004+533</f>
        <v>45537</v>
      </c>
      <c r="G20" s="25"/>
    </row>
    <row r="21" spans="1:8" x14ac:dyDescent="0.25">
      <c r="B21" t="s">
        <v>8</v>
      </c>
      <c r="C21" s="28">
        <v>187</v>
      </c>
      <c r="D21" s="25"/>
      <c r="F21" s="28">
        <v>147</v>
      </c>
      <c r="G21" s="25"/>
    </row>
    <row r="22" spans="1:8" x14ac:dyDescent="0.25">
      <c r="C22" s="25"/>
      <c r="D22" s="25">
        <f>SUM(C19:C21)</f>
        <v>48096</v>
      </c>
      <c r="F22" s="25"/>
      <c r="G22" s="25">
        <f>SUM(F19:F21)</f>
        <v>45784</v>
      </c>
    </row>
    <row r="23" spans="1:8" ht="15.75" thickBot="1" x14ac:dyDescent="0.3">
      <c r="C23" s="25"/>
      <c r="D23" s="30">
        <f>SUM(D8:D22)</f>
        <v>51595</v>
      </c>
      <c r="F23" s="25"/>
      <c r="G23" s="30">
        <f>SUM(G8:G22)</f>
        <v>48260</v>
      </c>
    </row>
    <row r="24" spans="1:8" ht="19.5" thickTop="1" x14ac:dyDescent="0.3">
      <c r="B24" s="3" t="s">
        <v>14</v>
      </c>
      <c r="C24" s="25"/>
      <c r="D24" s="25"/>
      <c r="E24" s="3"/>
      <c r="F24" s="25"/>
      <c r="G24" s="25"/>
      <c r="H24" s="3"/>
    </row>
    <row r="25" spans="1:8" x14ac:dyDescent="0.25">
      <c r="A25" s="2" t="s">
        <v>15</v>
      </c>
      <c r="C25" s="25"/>
      <c r="D25" s="25"/>
      <c r="F25" s="25"/>
      <c r="G25" s="25"/>
    </row>
    <row r="26" spans="1:8" x14ac:dyDescent="0.25">
      <c r="B26" t="s">
        <v>16</v>
      </c>
      <c r="C26" s="25"/>
      <c r="D26" s="25">
        <v>45073</v>
      </c>
      <c r="F26" s="25"/>
      <c r="G26" s="25">
        <v>46050</v>
      </c>
    </row>
    <row r="27" spans="1:8" x14ac:dyDescent="0.25">
      <c r="B27" t="s">
        <v>17</v>
      </c>
      <c r="C27" s="25"/>
      <c r="D27" s="28">
        <f>4963</f>
        <v>4963</v>
      </c>
      <c r="F27" s="25"/>
      <c r="G27" s="28">
        <f>-1854+867+10</f>
        <v>-977</v>
      </c>
    </row>
    <row r="28" spans="1:8" x14ac:dyDescent="0.25">
      <c r="C28" s="25"/>
      <c r="D28" s="25">
        <f>SUM(D26:D27)</f>
        <v>50036</v>
      </c>
      <c r="F28" s="25"/>
      <c r="G28" s="25">
        <f>SUM(G26:G27)</f>
        <v>45073</v>
      </c>
    </row>
    <row r="29" spans="1:8" x14ac:dyDescent="0.25">
      <c r="A29" s="2" t="s">
        <v>18</v>
      </c>
      <c r="B29" s="2"/>
      <c r="C29" s="29"/>
      <c r="D29" s="29"/>
      <c r="E29" s="2"/>
      <c r="F29" s="29"/>
      <c r="G29" s="29"/>
      <c r="H29" s="2"/>
    </row>
    <row r="30" spans="1:8" x14ac:dyDescent="0.25">
      <c r="B30" t="s">
        <v>192</v>
      </c>
      <c r="C30" s="25">
        <v>1015</v>
      </c>
      <c r="D30" s="25"/>
      <c r="F30" s="25">
        <v>2064</v>
      </c>
      <c r="G30" s="25"/>
    </row>
    <row r="31" spans="1:8" x14ac:dyDescent="0.25">
      <c r="B31" t="s">
        <v>23</v>
      </c>
      <c r="C31" s="25">
        <v>500</v>
      </c>
      <c r="D31" s="25"/>
      <c r="F31" s="25">
        <v>1000</v>
      </c>
      <c r="G31" s="25"/>
    </row>
    <row r="32" spans="1:8" x14ac:dyDescent="0.25">
      <c r="B32" t="s">
        <v>24</v>
      </c>
      <c r="C32" s="25">
        <v>44</v>
      </c>
      <c r="D32" s="25"/>
      <c r="F32" s="25">
        <v>123</v>
      </c>
      <c r="G32" s="25"/>
    </row>
    <row r="33" spans="2:7" x14ac:dyDescent="0.25">
      <c r="B33" t="s">
        <v>123</v>
      </c>
      <c r="C33" s="28">
        <v>0</v>
      </c>
      <c r="F33" s="28">
        <v>0</v>
      </c>
    </row>
    <row r="34" spans="2:7" x14ac:dyDescent="0.25">
      <c r="C34" s="25"/>
      <c r="D34" s="25">
        <f>SUM(C30:C33)</f>
        <v>1559</v>
      </c>
      <c r="F34" s="25"/>
      <c r="G34" s="25">
        <f>SUM(F30:F33)</f>
        <v>3187</v>
      </c>
    </row>
    <row r="35" spans="2:7" ht="15.75" thickBot="1" x14ac:dyDescent="0.3">
      <c r="C35" s="25"/>
      <c r="D35" s="30">
        <f>SUM(D28:D34)</f>
        <v>51595</v>
      </c>
      <c r="F35" s="25"/>
      <c r="G35" s="30">
        <f>SUM(G28:G34)</f>
        <v>48260</v>
      </c>
    </row>
    <row r="36" spans="2:7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07A1-BE4A-4FAC-A671-FE5862480520}">
  <dimension ref="B1:N107"/>
  <sheetViews>
    <sheetView topLeftCell="A28" workbookViewId="0">
      <selection activeCell="A76" sqref="A1:XFD1048576"/>
    </sheetView>
  </sheetViews>
  <sheetFormatPr defaultRowHeight="15" x14ac:dyDescent="0.25"/>
  <cols>
    <col min="2" max="2" width="1.5703125" customWidth="1"/>
    <col min="5" max="5" width="24.28515625" customWidth="1"/>
    <col min="6" max="6" width="13.140625" customWidth="1"/>
    <col min="7" max="7" width="9.28515625" bestFit="1" customWidth="1"/>
    <col min="8" max="9" width="11.5703125" customWidth="1"/>
    <col min="10" max="10" width="4.42578125" style="21" customWidth="1"/>
    <col min="11" max="11" width="10.5703125" customWidth="1"/>
    <col min="12" max="12" width="10.5703125" bestFit="1" customWidth="1"/>
    <col min="13" max="13" width="3" style="39" customWidth="1"/>
    <col min="14" max="14" width="12" customWidth="1"/>
  </cols>
  <sheetData>
    <row r="1" spans="2:14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 t="s">
        <v>63</v>
      </c>
    </row>
    <row r="2" spans="2:14" x14ac:dyDescent="0.25">
      <c r="F2" s="1">
        <v>44197</v>
      </c>
      <c r="G2" s="5"/>
      <c r="H2" s="5"/>
      <c r="I2" s="5"/>
      <c r="J2" s="22"/>
      <c r="K2" s="5" t="s">
        <v>66</v>
      </c>
      <c r="L2" s="38" t="s">
        <v>177</v>
      </c>
      <c r="N2" s="5" t="s">
        <v>175</v>
      </c>
    </row>
    <row r="3" spans="2:14" x14ac:dyDescent="0.25">
      <c r="B3" s="2" t="s">
        <v>12</v>
      </c>
      <c r="M3" s="54" t="s">
        <v>68</v>
      </c>
    </row>
    <row r="4" spans="2:14" x14ac:dyDescent="0.25">
      <c r="C4" t="s">
        <v>13</v>
      </c>
      <c r="F4" s="4" t="s">
        <v>65</v>
      </c>
      <c r="G4" s="4"/>
      <c r="H4" s="4"/>
      <c r="I4" s="4"/>
      <c r="J4" s="23"/>
      <c r="K4" s="4"/>
      <c r="L4" s="4" t="s">
        <v>65</v>
      </c>
      <c r="M4" s="54" t="s">
        <v>68</v>
      </c>
      <c r="N4" t="s">
        <v>65</v>
      </c>
    </row>
    <row r="5" spans="2:14" x14ac:dyDescent="0.25">
      <c r="B5" s="2" t="s">
        <v>3</v>
      </c>
      <c r="F5" s="11"/>
      <c r="G5" s="11"/>
      <c r="H5" s="11"/>
      <c r="I5" s="11"/>
      <c r="K5" s="11"/>
      <c r="L5" s="11"/>
      <c r="M5" s="55" t="s">
        <v>68</v>
      </c>
    </row>
    <row r="6" spans="2:14" x14ac:dyDescent="0.25">
      <c r="C6" t="s">
        <v>21</v>
      </c>
      <c r="F6" s="11"/>
      <c r="G6" s="11"/>
      <c r="H6" s="11"/>
      <c r="I6" s="11"/>
      <c r="K6" s="11"/>
      <c r="L6" s="11"/>
      <c r="M6" s="55" t="s">
        <v>68</v>
      </c>
    </row>
    <row r="7" spans="2:14" x14ac:dyDescent="0.25">
      <c r="C7" s="6" t="s">
        <v>19</v>
      </c>
      <c r="F7" s="11">
        <v>37.000000000000057</v>
      </c>
      <c r="G7" s="11"/>
      <c r="H7" s="11"/>
      <c r="I7" s="11"/>
      <c r="J7" s="21">
        <v>1</v>
      </c>
      <c r="K7" s="11">
        <f>23.66-37</f>
        <v>-13.34</v>
      </c>
      <c r="L7" s="11">
        <f>SUM(F7+G7+H7+I7+K7)</f>
        <v>23.660000000000057</v>
      </c>
      <c r="M7" s="55" t="s">
        <v>68</v>
      </c>
      <c r="N7" s="11">
        <v>37.000000000000057</v>
      </c>
    </row>
    <row r="8" spans="2:14" x14ac:dyDescent="0.25">
      <c r="C8" s="6" t="s">
        <v>20</v>
      </c>
      <c r="E8" t="s">
        <v>179</v>
      </c>
      <c r="F8" s="11">
        <v>1150</v>
      </c>
      <c r="G8" s="11"/>
      <c r="H8" s="11"/>
      <c r="I8" s="11"/>
      <c r="J8" s="21">
        <v>2</v>
      </c>
      <c r="K8" s="11">
        <v>-250</v>
      </c>
      <c r="L8" s="11">
        <f>SUM(F8+G8+H8+I8+K8)</f>
        <v>900</v>
      </c>
      <c r="M8" s="55" t="s">
        <v>68</v>
      </c>
      <c r="N8" s="11">
        <v>1150</v>
      </c>
    </row>
    <row r="9" spans="2:14" x14ac:dyDescent="0.25">
      <c r="C9" s="6" t="s">
        <v>178</v>
      </c>
      <c r="E9" t="s">
        <v>190</v>
      </c>
      <c r="F9" s="11">
        <v>0</v>
      </c>
      <c r="G9" s="11"/>
      <c r="H9" s="11"/>
      <c r="I9" s="11"/>
      <c r="J9" s="21">
        <v>9</v>
      </c>
      <c r="K9" s="11">
        <f>50*2.5</f>
        <v>125</v>
      </c>
      <c r="L9" s="11">
        <f>SUM(F9+G9+H9+I9+K9)</f>
        <v>125</v>
      </c>
      <c r="M9" s="55" t="s">
        <v>68</v>
      </c>
      <c r="N9" s="11"/>
    </row>
    <row r="10" spans="2:14" x14ac:dyDescent="0.25">
      <c r="C10" t="s">
        <v>155</v>
      </c>
      <c r="E10" t="s">
        <v>182</v>
      </c>
      <c r="F10" s="11">
        <v>989.14</v>
      </c>
      <c r="G10" s="11"/>
      <c r="H10" s="11"/>
      <c r="I10" s="11"/>
      <c r="J10" s="21" t="s">
        <v>183</v>
      </c>
      <c r="K10" s="11">
        <f>-989.14+2450</f>
        <v>1460.8600000000001</v>
      </c>
      <c r="L10" s="11">
        <f>SUM(F10+G10+H10+I10+K10)</f>
        <v>2450</v>
      </c>
      <c r="M10" s="55" t="s">
        <v>68</v>
      </c>
      <c r="N10" s="11">
        <v>989.14</v>
      </c>
    </row>
    <row r="11" spans="2:14" x14ac:dyDescent="0.25">
      <c r="C11" s="6" t="s">
        <v>140</v>
      </c>
      <c r="F11" s="11">
        <v>300</v>
      </c>
      <c r="G11" s="11"/>
      <c r="H11" s="11"/>
      <c r="I11" s="11"/>
      <c r="J11" s="21">
        <v>6</v>
      </c>
      <c r="K11" s="11">
        <v>-300</v>
      </c>
      <c r="L11" s="11">
        <f t="shared" ref="L11:L27" si="0">SUM(F11+G11+H11+I11+K11)</f>
        <v>0</v>
      </c>
      <c r="M11" s="55" t="s">
        <v>68</v>
      </c>
      <c r="N11" s="11">
        <v>300</v>
      </c>
    </row>
    <row r="12" spans="2:14" x14ac:dyDescent="0.25">
      <c r="B12" s="2" t="s">
        <v>5</v>
      </c>
      <c r="C12" s="2"/>
      <c r="F12" s="11"/>
      <c r="G12" s="11"/>
      <c r="H12" s="11"/>
      <c r="I12" s="11"/>
      <c r="K12" s="11"/>
      <c r="L12" s="11"/>
      <c r="M12" s="55" t="s">
        <v>68</v>
      </c>
      <c r="N12" s="11"/>
    </row>
    <row r="13" spans="2:14" x14ac:dyDescent="0.25">
      <c r="C13" t="s">
        <v>6</v>
      </c>
      <c r="F13" s="11">
        <v>100.22999999999998</v>
      </c>
      <c r="G13" s="11"/>
      <c r="H13" s="11">
        <f>1193.75-100.23</f>
        <v>1093.52</v>
      </c>
      <c r="I13" s="11"/>
      <c r="K13" s="11"/>
      <c r="L13" s="11">
        <f t="shared" si="0"/>
        <v>1193.75</v>
      </c>
      <c r="M13" s="55" t="s">
        <v>68</v>
      </c>
      <c r="N13" s="11">
        <v>100.22999999999998</v>
      </c>
    </row>
    <row r="14" spans="2:14" x14ac:dyDescent="0.25">
      <c r="C14" t="s">
        <v>7</v>
      </c>
      <c r="F14" s="11">
        <v>45004.350000000006</v>
      </c>
      <c r="G14" s="11"/>
      <c r="H14" s="11"/>
      <c r="I14" s="11">
        <f>-4.35</f>
        <v>-4.3499999999999996</v>
      </c>
      <c r="K14" s="11"/>
      <c r="L14" s="11">
        <f t="shared" si="0"/>
        <v>45000.000000000007</v>
      </c>
      <c r="M14" s="55" t="s">
        <v>68</v>
      </c>
      <c r="N14" s="11">
        <v>45004.350000000006</v>
      </c>
    </row>
    <row r="15" spans="2:14" x14ac:dyDescent="0.25">
      <c r="C15" t="s">
        <v>77</v>
      </c>
      <c r="F15" s="11">
        <v>532.77</v>
      </c>
      <c r="G15" s="11"/>
      <c r="H15" s="11"/>
      <c r="I15" s="11">
        <f>1714.69-532.77</f>
        <v>1181.92</v>
      </c>
      <c r="K15" s="11"/>
      <c r="L15" s="11">
        <f t="shared" si="0"/>
        <v>1714.69</v>
      </c>
      <c r="M15" s="55" t="s">
        <v>68</v>
      </c>
      <c r="N15" s="11">
        <v>532.77</v>
      </c>
    </row>
    <row r="16" spans="2:14" x14ac:dyDescent="0.25">
      <c r="C16" t="s">
        <v>8</v>
      </c>
      <c r="F16" s="11">
        <v>147.30000000000001</v>
      </c>
      <c r="G16" s="11">
        <f>187.85-147.3</f>
        <v>40.549999999999983</v>
      </c>
      <c r="H16" s="11"/>
      <c r="I16" s="11"/>
      <c r="K16" s="11"/>
      <c r="L16" s="11">
        <f t="shared" si="0"/>
        <v>187.85</v>
      </c>
      <c r="M16" s="55" t="s">
        <v>68</v>
      </c>
      <c r="N16" s="11">
        <v>147.30000000000001</v>
      </c>
    </row>
    <row r="17" spans="2:14" x14ac:dyDescent="0.25">
      <c r="C17" t="s">
        <v>74</v>
      </c>
      <c r="F17" s="11">
        <v>0</v>
      </c>
      <c r="G17" s="11">
        <v>3930</v>
      </c>
      <c r="H17" s="11">
        <v>11800</v>
      </c>
      <c r="I17" s="11">
        <f>-15739.19+9.19</f>
        <v>-15730</v>
      </c>
      <c r="K17" s="11"/>
      <c r="L17" s="11">
        <f t="shared" si="0"/>
        <v>0</v>
      </c>
      <c r="M17" s="55" t="s">
        <v>68</v>
      </c>
      <c r="N17" s="11">
        <v>0</v>
      </c>
    </row>
    <row r="18" spans="2:14" x14ac:dyDescent="0.25">
      <c r="B18" s="2" t="s">
        <v>15</v>
      </c>
      <c r="F18" s="11"/>
      <c r="G18" s="11"/>
      <c r="H18" s="11"/>
      <c r="I18" s="11"/>
      <c r="K18" s="11"/>
      <c r="L18" s="11"/>
      <c r="M18" s="55" t="s">
        <v>68</v>
      </c>
      <c r="N18" s="11"/>
    </row>
    <row r="19" spans="2:14" x14ac:dyDescent="0.25">
      <c r="C19" t="s">
        <v>16</v>
      </c>
      <c r="F19" s="11">
        <f>-46050.19+976.93</f>
        <v>-45073.26</v>
      </c>
      <c r="G19" s="11"/>
      <c r="H19" s="11"/>
      <c r="I19" s="11"/>
      <c r="K19" s="11"/>
      <c r="L19" s="11">
        <f t="shared" si="0"/>
        <v>-45073.26</v>
      </c>
      <c r="M19" s="55" t="s">
        <v>68</v>
      </c>
      <c r="N19" s="11">
        <v>-46050.189999999995</v>
      </c>
    </row>
    <row r="20" spans="2:14" x14ac:dyDescent="0.25">
      <c r="B20" s="2" t="s">
        <v>18</v>
      </c>
      <c r="C20" s="2"/>
      <c r="F20" s="11"/>
      <c r="G20" s="11"/>
      <c r="H20" s="11"/>
      <c r="I20" s="11"/>
      <c r="K20" s="11"/>
      <c r="L20" s="11"/>
      <c r="M20" s="55" t="s">
        <v>68</v>
      </c>
      <c r="N20" s="11"/>
    </row>
    <row r="21" spans="2:14" x14ac:dyDescent="0.25">
      <c r="C21" t="s">
        <v>22</v>
      </c>
      <c r="F21" s="11"/>
      <c r="G21" s="11"/>
      <c r="H21" s="11"/>
      <c r="I21" s="11"/>
      <c r="K21" s="11"/>
      <c r="L21" s="11"/>
      <c r="M21" s="55" t="s">
        <v>68</v>
      </c>
      <c r="N21" s="11"/>
    </row>
    <row r="22" spans="2:14" x14ac:dyDescent="0.25">
      <c r="C22" s="6" t="s">
        <v>118</v>
      </c>
      <c r="F22" s="11">
        <v>-1000</v>
      </c>
      <c r="G22" s="11"/>
      <c r="H22" s="11"/>
      <c r="I22" s="11"/>
      <c r="J22" s="21">
        <v>3</v>
      </c>
      <c r="K22" s="11">
        <v>500</v>
      </c>
      <c r="L22" s="11">
        <f t="shared" si="0"/>
        <v>-500</v>
      </c>
      <c r="M22" s="55" t="s">
        <v>68</v>
      </c>
      <c r="N22" s="11">
        <v>-1000</v>
      </c>
    </row>
    <row r="23" spans="2:14" x14ac:dyDescent="0.25">
      <c r="C23" s="6" t="s">
        <v>181</v>
      </c>
      <c r="F23" s="11">
        <v>0</v>
      </c>
      <c r="G23" s="11"/>
      <c r="H23" s="11"/>
      <c r="I23" s="11"/>
      <c r="J23" s="21">
        <v>4</v>
      </c>
      <c r="K23" s="11">
        <v>-44</v>
      </c>
      <c r="L23" s="11">
        <f t="shared" si="0"/>
        <v>-44</v>
      </c>
      <c r="M23" s="55" t="s">
        <v>68</v>
      </c>
      <c r="N23" s="11">
        <v>0</v>
      </c>
    </row>
    <row r="24" spans="2:14" x14ac:dyDescent="0.25">
      <c r="C24" s="6" t="s">
        <v>138</v>
      </c>
      <c r="F24" s="11">
        <v>-123</v>
      </c>
      <c r="G24" s="11"/>
      <c r="H24" s="11"/>
      <c r="I24" s="11"/>
      <c r="J24" s="21">
        <v>4</v>
      </c>
      <c r="K24" s="11">
        <v>123</v>
      </c>
      <c r="L24" s="11">
        <f t="shared" si="0"/>
        <v>0</v>
      </c>
      <c r="M24" s="55" t="s">
        <v>68</v>
      </c>
      <c r="N24" s="11">
        <v>-123</v>
      </c>
    </row>
    <row r="25" spans="2:14" x14ac:dyDescent="0.25">
      <c r="C25" s="6" t="s">
        <v>185</v>
      </c>
      <c r="F25" s="11">
        <v>1.1368683772161603E-13</v>
      </c>
      <c r="G25" s="11"/>
      <c r="H25" s="11"/>
      <c r="I25" s="11">
        <v>-1014.58</v>
      </c>
      <c r="K25" s="11"/>
      <c r="L25" s="11">
        <f t="shared" si="0"/>
        <v>-1014.5799999999999</v>
      </c>
      <c r="M25" s="55" t="s">
        <v>68</v>
      </c>
      <c r="N25" s="11">
        <v>0</v>
      </c>
    </row>
    <row r="26" spans="2:14" x14ac:dyDescent="0.25">
      <c r="C26" s="6" t="s">
        <v>113</v>
      </c>
      <c r="F26" s="11">
        <v>-2064.5299999999997</v>
      </c>
      <c r="G26" s="11"/>
      <c r="H26" s="11"/>
      <c r="I26" s="11"/>
      <c r="J26" s="21">
        <v>5</v>
      </c>
      <c r="K26" s="11">
        <v>2064.5300000000002</v>
      </c>
      <c r="L26" s="11">
        <f t="shared" si="0"/>
        <v>4.5474735088646412E-13</v>
      </c>
      <c r="M26" s="55" t="s">
        <v>68</v>
      </c>
      <c r="N26" s="11">
        <v>-2064.5299999999997</v>
      </c>
    </row>
    <row r="27" spans="2:14" x14ac:dyDescent="0.25">
      <c r="C27" s="6"/>
      <c r="F27" s="19"/>
      <c r="G27" s="19"/>
      <c r="H27" s="19"/>
      <c r="I27" s="19"/>
      <c r="J27" s="22"/>
      <c r="K27" s="19"/>
      <c r="L27" s="11">
        <f t="shared" si="0"/>
        <v>0</v>
      </c>
      <c r="M27" s="55" t="s">
        <v>68</v>
      </c>
      <c r="N27" s="11">
        <v>0</v>
      </c>
    </row>
    <row r="28" spans="2:14" ht="15.75" thickBot="1" x14ac:dyDescent="0.3">
      <c r="E28" t="s">
        <v>108</v>
      </c>
      <c r="F28" s="11">
        <f>SUM(F4:F27)</f>
        <v>6.3664629124104977E-12</v>
      </c>
      <c r="G28" s="11">
        <f>SUM(G4:G27)</f>
        <v>3970.55</v>
      </c>
      <c r="H28" s="11">
        <f>SUM(H4:H27)</f>
        <v>12893.52</v>
      </c>
      <c r="I28" s="11">
        <f>SUM(I4:I27)</f>
        <v>-15567.01</v>
      </c>
      <c r="K28" s="11">
        <f>SUM(K4:K27)</f>
        <v>3666.05</v>
      </c>
      <c r="L28" s="12">
        <f>SUM(L3:L27)</f>
        <v>4963.1100000000024</v>
      </c>
      <c r="M28" s="56"/>
      <c r="N28" s="52">
        <v>-976.92999999998665</v>
      </c>
    </row>
    <row r="29" spans="2:14" ht="15.75" thickTop="1" x14ac:dyDescent="0.25">
      <c r="F29" s="11"/>
      <c r="G29" s="11"/>
      <c r="H29" s="11"/>
      <c r="I29" s="11"/>
      <c r="K29" s="11"/>
      <c r="L29" s="11"/>
      <c r="M29" s="56"/>
    </row>
    <row r="30" spans="2:14" x14ac:dyDescent="0.25">
      <c r="F30" s="11"/>
      <c r="G30" s="11"/>
      <c r="H30" s="11"/>
      <c r="I30" s="11"/>
      <c r="K30" s="11"/>
      <c r="L30" s="11"/>
      <c r="M30" s="56"/>
    </row>
    <row r="31" spans="2:14" x14ac:dyDescent="0.25">
      <c r="F31" s="11"/>
      <c r="G31" s="11"/>
      <c r="H31" s="11"/>
      <c r="I31" s="11"/>
      <c r="K31" s="11"/>
      <c r="L31" s="11"/>
      <c r="M31" s="56"/>
    </row>
    <row r="32" spans="2:14" x14ac:dyDescent="0.25">
      <c r="F32" s="11"/>
      <c r="G32" s="11"/>
      <c r="H32" s="11"/>
      <c r="I32" s="11"/>
      <c r="K32" s="11"/>
      <c r="L32" s="11"/>
      <c r="M32" s="56"/>
    </row>
    <row r="33" spans="2:14" x14ac:dyDescent="0.25">
      <c r="F33" s="11"/>
      <c r="G33" s="11"/>
      <c r="H33" s="11"/>
      <c r="I33" s="11"/>
      <c r="K33" s="11"/>
      <c r="L33" s="11"/>
      <c r="M33" s="56"/>
    </row>
    <row r="34" spans="2:14" x14ac:dyDescent="0.25">
      <c r="F34" s="11"/>
      <c r="G34" s="11"/>
      <c r="H34" s="11"/>
      <c r="I34" s="11"/>
      <c r="K34" s="11"/>
      <c r="L34" s="11"/>
      <c r="M34" s="56"/>
    </row>
    <row r="35" spans="2:14" x14ac:dyDescent="0.25">
      <c r="F35" s="11"/>
      <c r="G35" s="11"/>
      <c r="H35" s="11"/>
      <c r="I35" s="11"/>
      <c r="K35" s="11"/>
      <c r="L35" s="11"/>
      <c r="M35" s="56"/>
    </row>
    <row r="36" spans="2:14" x14ac:dyDescent="0.25">
      <c r="F36" t="s">
        <v>62</v>
      </c>
      <c r="G36" t="s">
        <v>67</v>
      </c>
      <c r="H36" t="s">
        <v>75</v>
      </c>
      <c r="I36" t="s">
        <v>76</v>
      </c>
      <c r="L36" t="s">
        <v>63</v>
      </c>
      <c r="N36" t="s">
        <v>63</v>
      </c>
    </row>
    <row r="37" spans="2:14" x14ac:dyDescent="0.25">
      <c r="F37" s="1">
        <v>44197</v>
      </c>
      <c r="G37" s="5"/>
      <c r="H37" s="5"/>
      <c r="I37" s="5"/>
      <c r="J37" s="22"/>
      <c r="K37" s="5" t="s">
        <v>66</v>
      </c>
      <c r="L37" s="38" t="s">
        <v>177</v>
      </c>
      <c r="N37" s="5" t="s">
        <v>175</v>
      </c>
    </row>
    <row r="38" spans="2:14" x14ac:dyDescent="0.25">
      <c r="E38" t="s">
        <v>107</v>
      </c>
      <c r="F38" s="11">
        <f>SUM(F28)</f>
        <v>6.3664629124104977E-12</v>
      </c>
      <c r="G38" s="11">
        <f>SUM(G28)</f>
        <v>3970.55</v>
      </c>
      <c r="H38" s="11">
        <f>SUM(H28)</f>
        <v>12893.52</v>
      </c>
      <c r="I38" s="11">
        <f>SUM(I28)</f>
        <v>-15567.01</v>
      </c>
      <c r="K38" s="11">
        <f>SUM(K28)</f>
        <v>3666.05</v>
      </c>
      <c r="L38" s="11">
        <f>SUM(L28)</f>
        <v>4963.1100000000024</v>
      </c>
      <c r="M38" s="55" t="s">
        <v>68</v>
      </c>
      <c r="N38">
        <v>-976.92999999998665</v>
      </c>
    </row>
    <row r="39" spans="2:14" ht="15.75" x14ac:dyDescent="0.25">
      <c r="B39" s="9" t="s">
        <v>27</v>
      </c>
      <c r="F39" s="11"/>
      <c r="G39" s="11"/>
      <c r="H39" s="11"/>
      <c r="I39" s="11"/>
      <c r="K39" s="11"/>
      <c r="L39" s="11"/>
      <c r="M39" s="55" t="s">
        <v>68</v>
      </c>
    </row>
    <row r="40" spans="2:14" x14ac:dyDescent="0.25">
      <c r="B40" t="s">
        <v>28</v>
      </c>
      <c r="F40" s="11"/>
      <c r="G40" s="11">
        <v>-168</v>
      </c>
      <c r="H40" s="11">
        <v>-11260</v>
      </c>
      <c r="I40" s="11">
        <v>-240</v>
      </c>
      <c r="J40" s="21">
        <v>4</v>
      </c>
      <c r="K40" s="11">
        <f>-123+44</f>
        <v>-79</v>
      </c>
      <c r="L40" s="11">
        <f t="shared" ref="L40:L59" si="1">SUM(F40+G40+H40+I40+K40)</f>
        <v>-11747</v>
      </c>
      <c r="M40" s="55" t="s">
        <v>68</v>
      </c>
      <c r="N40" s="58">
        <v>-11753</v>
      </c>
    </row>
    <row r="41" spans="2:14" x14ac:dyDescent="0.25">
      <c r="B41" t="s">
        <v>29</v>
      </c>
      <c r="C41" t="s">
        <v>69</v>
      </c>
      <c r="F41" s="11"/>
      <c r="G41" s="11">
        <v>-694.05</v>
      </c>
      <c r="H41" s="11">
        <v>-19.95</v>
      </c>
      <c r="I41" s="11">
        <v>-382.85</v>
      </c>
      <c r="K41" s="11"/>
      <c r="L41" s="11">
        <f t="shared" si="1"/>
        <v>-1096.8499999999999</v>
      </c>
      <c r="M41" s="55" t="s">
        <v>68</v>
      </c>
      <c r="N41" s="58">
        <f>-663.29-10</f>
        <v>-673.29</v>
      </c>
    </row>
    <row r="42" spans="2:14" x14ac:dyDescent="0.25">
      <c r="B42" t="s">
        <v>30</v>
      </c>
      <c r="F42" s="11"/>
      <c r="G42" s="11"/>
      <c r="H42" s="11"/>
      <c r="I42" s="11">
        <v>-1500</v>
      </c>
      <c r="K42" s="11"/>
      <c r="L42" s="11">
        <f t="shared" si="1"/>
        <v>-1500</v>
      </c>
      <c r="M42" s="55" t="s">
        <v>68</v>
      </c>
      <c r="N42" s="58">
        <v>-1500</v>
      </c>
    </row>
    <row r="43" spans="2:14" x14ac:dyDescent="0.25">
      <c r="C43" s="6" t="s">
        <v>191</v>
      </c>
      <c r="F43" s="11"/>
      <c r="G43" s="11"/>
      <c r="H43" s="11"/>
      <c r="I43" s="11">
        <v>-5000</v>
      </c>
      <c r="K43" s="11"/>
      <c r="L43" s="11">
        <f>SUM(F43+G43+H43+I43+K43)</f>
        <v>-5000</v>
      </c>
      <c r="M43" s="55" t="s">
        <v>68</v>
      </c>
      <c r="N43" s="58"/>
    </row>
    <row r="44" spans="2:14" x14ac:dyDescent="0.25">
      <c r="B44" t="s">
        <v>31</v>
      </c>
      <c r="F44" s="11"/>
      <c r="G44" s="11"/>
      <c r="H44" s="11"/>
      <c r="I44" s="11">
        <v>-300</v>
      </c>
      <c r="J44" s="21">
        <v>6</v>
      </c>
      <c r="K44" s="11">
        <v>300</v>
      </c>
      <c r="L44" s="11">
        <f t="shared" si="1"/>
        <v>0</v>
      </c>
      <c r="M44" s="55" t="s">
        <v>68</v>
      </c>
      <c r="N44" s="58">
        <v>-300</v>
      </c>
    </row>
    <row r="45" spans="2:14" x14ac:dyDescent="0.25">
      <c r="B45" t="s">
        <v>81</v>
      </c>
      <c r="F45" s="11"/>
      <c r="G45" s="11"/>
      <c r="H45" s="11"/>
      <c r="I45" s="11"/>
      <c r="K45" s="11"/>
      <c r="L45" s="11">
        <f t="shared" si="1"/>
        <v>0</v>
      </c>
      <c r="M45" s="55" t="s">
        <v>68</v>
      </c>
      <c r="N45" s="58">
        <v>0</v>
      </c>
    </row>
    <row r="46" spans="2:14" x14ac:dyDescent="0.25">
      <c r="B46" t="s">
        <v>119</v>
      </c>
      <c r="F46" s="11"/>
      <c r="G46" s="11">
        <v>-78.5</v>
      </c>
      <c r="H46" s="11"/>
      <c r="I46" s="11">
        <v>-10.1</v>
      </c>
      <c r="K46" s="11"/>
      <c r="L46" s="11">
        <f t="shared" si="1"/>
        <v>-88.6</v>
      </c>
      <c r="M46" s="55" t="s">
        <v>68</v>
      </c>
      <c r="N46" s="58">
        <v>-77.25</v>
      </c>
    </row>
    <row r="47" spans="2:14" x14ac:dyDescent="0.25">
      <c r="B47" t="s">
        <v>115</v>
      </c>
      <c r="F47" s="11"/>
      <c r="G47" s="11"/>
      <c r="H47" s="11"/>
      <c r="I47" s="11"/>
      <c r="K47" s="11"/>
      <c r="L47" s="11">
        <f t="shared" si="1"/>
        <v>0</v>
      </c>
      <c r="M47" s="55" t="s">
        <v>68</v>
      </c>
      <c r="N47" s="58">
        <v>0</v>
      </c>
    </row>
    <row r="48" spans="2:14" x14ac:dyDescent="0.25">
      <c r="B48" t="s">
        <v>194</v>
      </c>
      <c r="F48" s="11"/>
      <c r="G48" s="11"/>
      <c r="H48" s="11"/>
      <c r="I48" s="11">
        <v>-100</v>
      </c>
      <c r="K48" s="11"/>
      <c r="L48" s="11">
        <f t="shared" si="1"/>
        <v>-100</v>
      </c>
      <c r="M48" s="55" t="s">
        <v>68</v>
      </c>
      <c r="N48" s="58"/>
    </row>
    <row r="49" spans="2:14" x14ac:dyDescent="0.25">
      <c r="B49" t="s">
        <v>84</v>
      </c>
      <c r="F49" s="11"/>
      <c r="G49" s="11"/>
      <c r="H49" s="11"/>
      <c r="I49" s="11">
        <v>-165</v>
      </c>
      <c r="K49" s="11"/>
      <c r="L49" s="11">
        <f t="shared" si="1"/>
        <v>-165</v>
      </c>
      <c r="M49" s="55" t="s">
        <v>68</v>
      </c>
      <c r="N49" s="58">
        <v>-175</v>
      </c>
    </row>
    <row r="50" spans="2:14" x14ac:dyDescent="0.25">
      <c r="B50" t="s">
        <v>188</v>
      </c>
      <c r="F50" s="11"/>
      <c r="G50" s="11"/>
      <c r="H50" s="11"/>
      <c r="I50" s="11"/>
      <c r="J50" s="21">
        <v>5</v>
      </c>
      <c r="K50" s="11">
        <v>-2064.5299999999997</v>
      </c>
      <c r="L50" s="11">
        <f t="shared" si="1"/>
        <v>-2064.5299999999997</v>
      </c>
      <c r="M50" s="55" t="s">
        <v>68</v>
      </c>
      <c r="N50" s="58">
        <v>-866.72</v>
      </c>
    </row>
    <row r="51" spans="2:14" x14ac:dyDescent="0.25">
      <c r="B51" t="s">
        <v>154</v>
      </c>
      <c r="F51" s="11"/>
      <c r="G51" s="11"/>
      <c r="H51" s="11"/>
      <c r="I51" s="11"/>
      <c r="K51" s="11"/>
      <c r="L51" s="11">
        <f t="shared" si="1"/>
        <v>0</v>
      </c>
      <c r="M51" s="55" t="s">
        <v>68</v>
      </c>
      <c r="N51" s="58">
        <v>-347.78</v>
      </c>
    </row>
    <row r="52" spans="2:14" x14ac:dyDescent="0.25">
      <c r="B52" t="s">
        <v>85</v>
      </c>
      <c r="F52" s="11"/>
      <c r="G52" s="11">
        <v>-192.5</v>
      </c>
      <c r="H52" s="11">
        <v>-47.5</v>
      </c>
      <c r="I52" s="11">
        <f>-745-385</f>
        <v>-1130</v>
      </c>
      <c r="K52" s="11"/>
      <c r="L52" s="11">
        <f t="shared" si="1"/>
        <v>-1370</v>
      </c>
      <c r="M52" s="55" t="s">
        <v>68</v>
      </c>
      <c r="N52" s="58">
        <v>-14476</v>
      </c>
    </row>
    <row r="53" spans="2:14" x14ac:dyDescent="0.25">
      <c r="B53" t="s">
        <v>157</v>
      </c>
      <c r="F53" s="11"/>
      <c r="G53" s="11"/>
      <c r="H53" s="11"/>
      <c r="I53" s="11">
        <f>-51.5-2</f>
        <v>-53.5</v>
      </c>
      <c r="K53" s="11"/>
      <c r="L53" s="11">
        <f t="shared" si="1"/>
        <v>-53.5</v>
      </c>
      <c r="M53" s="55" t="s">
        <v>68</v>
      </c>
      <c r="N53" s="58">
        <v>-1088</v>
      </c>
    </row>
    <row r="54" spans="2:14" x14ac:dyDescent="0.25">
      <c r="B54" t="s">
        <v>186</v>
      </c>
      <c r="F54" s="11"/>
      <c r="G54" s="11">
        <v>-2837.5</v>
      </c>
      <c r="H54" s="11">
        <v>-662.5</v>
      </c>
      <c r="I54" s="11">
        <f>7162.27-6805.96-1481.31</f>
        <v>-1124.9999999999995</v>
      </c>
      <c r="K54" s="11"/>
      <c r="L54" s="11">
        <f t="shared" si="1"/>
        <v>-4625</v>
      </c>
      <c r="M54" s="55" t="s">
        <v>68</v>
      </c>
      <c r="N54" s="58"/>
    </row>
    <row r="55" spans="2:14" x14ac:dyDescent="0.25">
      <c r="B55" t="s">
        <v>187</v>
      </c>
      <c r="F55" s="11"/>
      <c r="G55" s="11"/>
      <c r="H55" s="11">
        <v>-1175</v>
      </c>
      <c r="I55" s="11"/>
      <c r="K55" s="11"/>
      <c r="L55" s="11">
        <f t="shared" si="1"/>
        <v>-1175</v>
      </c>
      <c r="M55" s="55" t="s">
        <v>68</v>
      </c>
    </row>
    <row r="56" spans="2:14" x14ac:dyDescent="0.25">
      <c r="B56" t="s">
        <v>34</v>
      </c>
      <c r="F56" s="11"/>
      <c r="G56" s="11"/>
      <c r="H56" s="11"/>
      <c r="I56" s="11"/>
      <c r="K56" s="11"/>
      <c r="L56" s="11">
        <f t="shared" si="1"/>
        <v>0</v>
      </c>
      <c r="M56" s="55" t="s">
        <v>68</v>
      </c>
      <c r="N56">
        <v>0</v>
      </c>
    </row>
    <row r="57" spans="2:14" x14ac:dyDescent="0.25">
      <c r="B57" t="s">
        <v>35</v>
      </c>
      <c r="F57" s="11"/>
      <c r="G57" s="11"/>
      <c r="H57" s="11"/>
      <c r="I57" s="11">
        <v>-250</v>
      </c>
      <c r="K57" s="11"/>
      <c r="L57" s="11">
        <f t="shared" si="1"/>
        <v>-250</v>
      </c>
      <c r="M57" s="55" t="s">
        <v>68</v>
      </c>
      <c r="N57">
        <v>0</v>
      </c>
    </row>
    <row r="58" spans="2:14" x14ac:dyDescent="0.25">
      <c r="B58" t="s">
        <v>36</v>
      </c>
      <c r="F58" s="11"/>
      <c r="G58" s="11"/>
      <c r="H58" s="11"/>
      <c r="I58" s="11"/>
      <c r="J58" s="21">
        <v>3</v>
      </c>
      <c r="K58" s="11">
        <v>-500</v>
      </c>
      <c r="L58" s="11">
        <f t="shared" si="1"/>
        <v>-500</v>
      </c>
      <c r="M58" s="55" t="s">
        <v>68</v>
      </c>
      <c r="N58" s="58">
        <v>-500</v>
      </c>
    </row>
    <row r="59" spans="2:14" x14ac:dyDescent="0.25">
      <c r="B59" t="s">
        <v>37</v>
      </c>
      <c r="F59" s="11"/>
      <c r="G59" s="11"/>
      <c r="H59" s="11"/>
      <c r="I59" s="11"/>
      <c r="K59" s="11"/>
      <c r="L59" s="11">
        <f t="shared" si="1"/>
        <v>0</v>
      </c>
      <c r="M59" s="55" t="s">
        <v>68</v>
      </c>
      <c r="N59">
        <v>0</v>
      </c>
    </row>
    <row r="60" spans="2:14" x14ac:dyDescent="0.25">
      <c r="B60" t="s">
        <v>38</v>
      </c>
      <c r="F60" s="11"/>
      <c r="G60" s="11"/>
      <c r="H60" s="11"/>
      <c r="I60" s="11">
        <v>-4.84</v>
      </c>
      <c r="K60" s="11"/>
      <c r="L60" s="11">
        <f>SUM(F60+G60+H60+I60+K60)</f>
        <v>-4.84</v>
      </c>
      <c r="M60" s="55" t="s">
        <v>68</v>
      </c>
      <c r="N60">
        <v>-4.3499999999999996</v>
      </c>
    </row>
    <row r="61" spans="2:14" x14ac:dyDescent="0.25">
      <c r="F61" s="19"/>
      <c r="G61" s="19"/>
      <c r="H61" s="19"/>
      <c r="I61" s="19"/>
      <c r="J61" s="22"/>
      <c r="K61" s="19"/>
      <c r="L61" s="19"/>
      <c r="M61" s="57" t="s">
        <v>68</v>
      </c>
      <c r="N61" s="5"/>
    </row>
    <row r="62" spans="2:14" x14ac:dyDescent="0.25">
      <c r="E62" t="s">
        <v>106</v>
      </c>
      <c r="F62" s="11">
        <f>SUM(F38:F61)</f>
        <v>6.3664629124104977E-12</v>
      </c>
      <c r="G62" s="11">
        <f>SUM(G38:G61)</f>
        <v>0</v>
      </c>
      <c r="H62" s="11">
        <f>SUM(H38:H61)</f>
        <v>-271.42999999999961</v>
      </c>
      <c r="I62" s="11">
        <f>SUM(I38:I61)</f>
        <v>-25828.3</v>
      </c>
      <c r="K62" s="11">
        <f>SUM(K38:K61)</f>
        <v>1322.5200000000004</v>
      </c>
      <c r="L62" s="11">
        <f>SUM(L38:L61)</f>
        <v>-24777.21</v>
      </c>
      <c r="M62" s="56"/>
      <c r="N62">
        <v>-32738.319999999985</v>
      </c>
    </row>
    <row r="63" spans="2:14" x14ac:dyDescent="0.25">
      <c r="F63" s="11"/>
      <c r="G63" s="11"/>
      <c r="H63" s="11"/>
      <c r="I63" s="11"/>
      <c r="K63" s="11"/>
      <c r="L63" s="11"/>
      <c r="M63" s="56"/>
    </row>
    <row r="64" spans="2:14" x14ac:dyDescent="0.25">
      <c r="F64" s="11"/>
      <c r="G64" s="11"/>
      <c r="H64" s="11"/>
      <c r="I64" s="11"/>
      <c r="K64" s="11"/>
      <c r="L64" s="11"/>
      <c r="M64" s="56"/>
    </row>
    <row r="65" spans="2:14" x14ac:dyDescent="0.25">
      <c r="F65" s="11"/>
      <c r="G65" s="11"/>
      <c r="H65" s="11"/>
      <c r="I65" s="11"/>
      <c r="K65" s="11"/>
      <c r="L65" s="11"/>
      <c r="M65" s="56"/>
    </row>
    <row r="66" spans="2:14" x14ac:dyDescent="0.25">
      <c r="F66" s="11"/>
      <c r="G66" s="11"/>
      <c r="H66" s="11"/>
      <c r="I66" s="11"/>
      <c r="K66" s="11"/>
      <c r="L66" s="11"/>
      <c r="M66" s="56"/>
    </row>
    <row r="67" spans="2:14" x14ac:dyDescent="0.25">
      <c r="F67" s="11"/>
      <c r="G67" s="11"/>
      <c r="H67" s="11"/>
      <c r="I67" s="11"/>
      <c r="K67" s="11"/>
      <c r="L67" s="11"/>
      <c r="M67" s="56"/>
    </row>
    <row r="68" spans="2:14" x14ac:dyDescent="0.25">
      <c r="F68" s="11"/>
      <c r="G68" s="11"/>
      <c r="H68" s="11"/>
      <c r="I68" s="11"/>
      <c r="K68" s="11"/>
      <c r="L68" s="11"/>
      <c r="M68" s="56"/>
    </row>
    <row r="69" spans="2:14" x14ac:dyDescent="0.25">
      <c r="F69" s="11"/>
      <c r="G69" s="11"/>
      <c r="H69" s="11"/>
      <c r="I69" s="11"/>
      <c r="K69" s="11"/>
      <c r="L69" s="11"/>
      <c r="M69" s="56"/>
    </row>
    <row r="70" spans="2:14" x14ac:dyDescent="0.25">
      <c r="F70" s="11"/>
      <c r="G70" s="11"/>
      <c r="H70" s="11"/>
      <c r="I70" s="11"/>
      <c r="K70" s="11"/>
      <c r="L70" s="11"/>
      <c r="M70" s="56"/>
    </row>
    <row r="71" spans="2:14" x14ac:dyDescent="0.25">
      <c r="F71" t="s">
        <v>62</v>
      </c>
      <c r="G71" t="s">
        <v>67</v>
      </c>
      <c r="H71" t="s">
        <v>75</v>
      </c>
      <c r="I71" t="s">
        <v>76</v>
      </c>
      <c r="L71" t="s">
        <v>63</v>
      </c>
      <c r="N71" t="s">
        <v>63</v>
      </c>
    </row>
    <row r="72" spans="2:14" x14ac:dyDescent="0.25">
      <c r="F72" s="1">
        <v>44197</v>
      </c>
      <c r="G72" s="5"/>
      <c r="H72" s="5"/>
      <c r="I72" s="5"/>
      <c r="J72" s="22"/>
      <c r="K72" s="5" t="s">
        <v>66</v>
      </c>
      <c r="L72" s="38" t="s">
        <v>177</v>
      </c>
      <c r="N72" s="5" t="s">
        <v>175</v>
      </c>
    </row>
    <row r="73" spans="2:14" x14ac:dyDescent="0.25">
      <c r="E73" t="s">
        <v>107</v>
      </c>
      <c r="F73" s="11">
        <v>0</v>
      </c>
      <c r="G73" s="11">
        <f>SUM(G62)</f>
        <v>0</v>
      </c>
      <c r="H73" s="11">
        <f>SUM(H62)</f>
        <v>-271.42999999999961</v>
      </c>
      <c r="I73" s="11">
        <f>SUM(I62)</f>
        <v>-25828.3</v>
      </c>
      <c r="K73" s="11">
        <f>SUM(K62)</f>
        <v>1322.5200000000004</v>
      </c>
      <c r="L73" s="11">
        <f>SUM(L62)</f>
        <v>-24777.21</v>
      </c>
      <c r="M73" s="54" t="s">
        <v>68</v>
      </c>
      <c r="N73">
        <v>-32738.319999999985</v>
      </c>
    </row>
    <row r="74" spans="2:14" ht="18.75" x14ac:dyDescent="0.3">
      <c r="B74" s="3" t="s">
        <v>41</v>
      </c>
      <c r="F74" s="11"/>
      <c r="G74" s="11"/>
      <c r="H74" s="11"/>
      <c r="I74" s="11"/>
      <c r="K74" s="11"/>
      <c r="L74" s="11"/>
      <c r="M74" s="55" t="s">
        <v>68</v>
      </c>
    </row>
    <row r="75" spans="2:14" x14ac:dyDescent="0.25">
      <c r="B75" s="2" t="s">
        <v>42</v>
      </c>
      <c r="F75" s="11"/>
      <c r="G75" s="11"/>
      <c r="H75" s="11"/>
      <c r="I75" s="11"/>
      <c r="K75" s="11"/>
      <c r="L75" s="11"/>
      <c r="M75" s="55" t="s">
        <v>68</v>
      </c>
    </row>
    <row r="76" spans="2:14" x14ac:dyDescent="0.25">
      <c r="C76" t="s">
        <v>43</v>
      </c>
      <c r="F76" s="11"/>
      <c r="G76" s="11"/>
      <c r="H76" s="11"/>
      <c r="I76" s="11">
        <f>913.51+55</f>
        <v>968.51</v>
      </c>
      <c r="K76" s="11"/>
      <c r="L76" s="11">
        <f t="shared" ref="L76:L104" si="2">SUM(F76+G76+H76+I76+K76)</f>
        <v>968.51</v>
      </c>
      <c r="M76" s="55" t="s">
        <v>68</v>
      </c>
      <c r="N76" s="58">
        <v>1324.63</v>
      </c>
    </row>
    <row r="77" spans="2:14" x14ac:dyDescent="0.25">
      <c r="C77" t="s">
        <v>80</v>
      </c>
      <c r="F77" s="11"/>
      <c r="G77" s="11"/>
      <c r="H77" s="11"/>
      <c r="I77" s="11">
        <v>-55</v>
      </c>
      <c r="K77" s="11"/>
      <c r="L77" s="11">
        <f t="shared" si="2"/>
        <v>-55</v>
      </c>
      <c r="M77" s="55" t="s">
        <v>68</v>
      </c>
      <c r="N77" s="58">
        <v>-212</v>
      </c>
    </row>
    <row r="78" spans="2:14" x14ac:dyDescent="0.25">
      <c r="C78" t="s">
        <v>89</v>
      </c>
      <c r="F78" s="11"/>
      <c r="G78" s="11"/>
      <c r="H78" s="11"/>
      <c r="I78" s="11">
        <f>7.93+30.33+5.45+38.39</f>
        <v>82.1</v>
      </c>
      <c r="K78" s="11"/>
      <c r="L78" s="11">
        <f t="shared" si="2"/>
        <v>82.1</v>
      </c>
      <c r="M78" s="55" t="s">
        <v>68</v>
      </c>
      <c r="N78" s="58">
        <v>146.81</v>
      </c>
    </row>
    <row r="79" spans="2:14" x14ac:dyDescent="0.25">
      <c r="C79" t="s">
        <v>44</v>
      </c>
      <c r="F79" s="11"/>
      <c r="G79" s="11"/>
      <c r="H79" s="11"/>
      <c r="I79" s="11">
        <f>85+49.79+6.99+215.16+87.73</f>
        <v>444.67</v>
      </c>
      <c r="K79" s="11"/>
      <c r="L79" s="11">
        <f t="shared" si="2"/>
        <v>444.67</v>
      </c>
      <c r="M79" s="55" t="s">
        <v>68</v>
      </c>
      <c r="N79" s="58">
        <v>577.6</v>
      </c>
    </row>
    <row r="80" spans="2:14" x14ac:dyDescent="0.25">
      <c r="C80" t="s">
        <v>45</v>
      </c>
      <c r="F80" s="11"/>
      <c r="G80" s="11"/>
      <c r="H80" s="11"/>
      <c r="I80" s="11">
        <v>601.9</v>
      </c>
      <c r="K80" s="11"/>
      <c r="L80" s="11">
        <f t="shared" si="2"/>
        <v>601.9</v>
      </c>
      <c r="M80" s="55" t="s">
        <v>68</v>
      </c>
      <c r="N80" s="58">
        <v>541.46</v>
      </c>
    </row>
    <row r="81" spans="2:14" x14ac:dyDescent="0.25">
      <c r="C81" t="s">
        <v>46</v>
      </c>
      <c r="F81" s="11"/>
      <c r="G81" s="11"/>
      <c r="H81" s="11"/>
      <c r="I81" s="11">
        <f>-215.91-897.77+1742.33</f>
        <v>628.64999999999986</v>
      </c>
      <c r="K81" s="11"/>
      <c r="L81" s="11">
        <f t="shared" si="2"/>
        <v>628.64999999999986</v>
      </c>
      <c r="M81" s="55" t="s">
        <v>68</v>
      </c>
      <c r="N81" s="58">
        <v>503.99</v>
      </c>
    </row>
    <row r="82" spans="2:14" x14ac:dyDescent="0.25">
      <c r="C82" t="s">
        <v>47</v>
      </c>
      <c r="F82" s="11"/>
      <c r="G82" s="11"/>
      <c r="H82" s="11"/>
      <c r="I82" s="11">
        <v>1136.1600000000001</v>
      </c>
      <c r="K82" s="11"/>
      <c r="L82" s="11">
        <f t="shared" si="2"/>
        <v>1136.1600000000001</v>
      </c>
      <c r="M82" s="55" t="s">
        <v>68</v>
      </c>
      <c r="N82" s="58">
        <v>1093.44</v>
      </c>
    </row>
    <row r="83" spans="2:14" x14ac:dyDescent="0.25">
      <c r="C83" t="s">
        <v>48</v>
      </c>
      <c r="F83" s="11"/>
      <c r="G83" s="11"/>
      <c r="H83" s="11"/>
      <c r="I83" s="11">
        <v>0</v>
      </c>
      <c r="K83" s="11"/>
      <c r="L83" s="11">
        <f t="shared" si="2"/>
        <v>0</v>
      </c>
      <c r="M83" s="55" t="s">
        <v>68</v>
      </c>
      <c r="N83" s="58">
        <v>0</v>
      </c>
    </row>
    <row r="84" spans="2:14" x14ac:dyDescent="0.25">
      <c r="D84" t="s">
        <v>156</v>
      </c>
      <c r="F84" s="11"/>
      <c r="G84" s="11"/>
      <c r="H84" s="11"/>
      <c r="I84" s="11">
        <v>0</v>
      </c>
      <c r="K84" s="11"/>
      <c r="L84" s="11">
        <f t="shared" si="2"/>
        <v>0</v>
      </c>
      <c r="M84" s="55" t="s">
        <v>68</v>
      </c>
      <c r="N84" s="58">
        <v>6715.5</v>
      </c>
    </row>
    <row r="85" spans="2:14" x14ac:dyDescent="0.25">
      <c r="D85" t="s">
        <v>139</v>
      </c>
      <c r="F85" s="11"/>
      <c r="G85" s="11"/>
      <c r="H85" s="11"/>
      <c r="I85" s="11">
        <v>0</v>
      </c>
      <c r="K85" s="11"/>
      <c r="L85" s="11">
        <f t="shared" si="2"/>
        <v>0</v>
      </c>
      <c r="M85" s="55" t="s">
        <v>68</v>
      </c>
      <c r="N85" s="58">
        <v>-776.48</v>
      </c>
    </row>
    <row r="86" spans="2:14" x14ac:dyDescent="0.25">
      <c r="D86" t="s">
        <v>195</v>
      </c>
      <c r="F86" s="11"/>
      <c r="G86" s="11"/>
      <c r="H86" s="11"/>
      <c r="I86" s="11">
        <f>2294.8+320.36+181.2-93.77+178.48</f>
        <v>2881.07</v>
      </c>
      <c r="K86" s="11"/>
      <c r="L86" s="11">
        <f>SUM(F86+G86+H86+I86+K86)</f>
        <v>2881.07</v>
      </c>
      <c r="M86" s="55" t="s">
        <v>68</v>
      </c>
      <c r="N86" s="58">
        <v>0</v>
      </c>
    </row>
    <row r="87" spans="2:14" ht="15.75" x14ac:dyDescent="0.25">
      <c r="B87" s="9" t="s">
        <v>50</v>
      </c>
      <c r="F87" s="11"/>
      <c r="G87" s="11"/>
      <c r="H87" s="11"/>
      <c r="I87" s="11"/>
      <c r="K87" s="11"/>
      <c r="L87" s="11">
        <f t="shared" si="2"/>
        <v>0</v>
      </c>
      <c r="M87" s="55" t="s">
        <v>68</v>
      </c>
      <c r="N87" s="58">
        <v>0</v>
      </c>
    </row>
    <row r="88" spans="2:14" x14ac:dyDescent="0.25">
      <c r="C88" t="s">
        <v>51</v>
      </c>
      <c r="F88" s="11"/>
      <c r="G88" s="11"/>
      <c r="H88" s="11"/>
      <c r="I88" s="11">
        <v>5295.22</v>
      </c>
      <c r="K88" s="11"/>
      <c r="L88" s="11">
        <f t="shared" si="2"/>
        <v>5295.22</v>
      </c>
      <c r="M88" s="55" t="s">
        <v>68</v>
      </c>
      <c r="N88" s="58">
        <v>6353.72</v>
      </c>
    </row>
    <row r="89" spans="2:14" x14ac:dyDescent="0.25">
      <c r="C89" t="s">
        <v>19</v>
      </c>
      <c r="F89" s="11"/>
      <c r="G89" s="11"/>
      <c r="I89" s="11">
        <v>1456.06</v>
      </c>
      <c r="J89" s="21">
        <v>1</v>
      </c>
      <c r="K89" s="11">
        <v>13.34</v>
      </c>
      <c r="L89" s="11">
        <f t="shared" si="2"/>
        <v>1469.3999999999999</v>
      </c>
      <c r="M89" s="55" t="s">
        <v>68</v>
      </c>
      <c r="N89" s="58">
        <v>1375.54</v>
      </c>
    </row>
    <row r="90" spans="2:14" x14ac:dyDescent="0.25">
      <c r="C90" t="s">
        <v>159</v>
      </c>
      <c r="F90" s="11"/>
      <c r="G90" s="11"/>
      <c r="I90" s="11"/>
      <c r="K90" s="11"/>
      <c r="L90" s="11">
        <f t="shared" si="2"/>
        <v>0</v>
      </c>
      <c r="M90" s="55" t="s">
        <v>68</v>
      </c>
      <c r="N90" s="58">
        <v>260.14999999999998</v>
      </c>
    </row>
    <row r="91" spans="2:14" x14ac:dyDescent="0.25">
      <c r="C91" t="s">
        <v>52</v>
      </c>
      <c r="F91" s="11"/>
      <c r="G91" s="11"/>
      <c r="H91" s="11"/>
      <c r="I91" s="11">
        <v>159.91999999999999</v>
      </c>
      <c r="K91" s="11"/>
      <c r="L91" s="11">
        <f t="shared" si="2"/>
        <v>159.91999999999999</v>
      </c>
      <c r="M91" s="55" t="s">
        <v>68</v>
      </c>
      <c r="N91" s="58">
        <v>706.53</v>
      </c>
    </row>
    <row r="92" spans="2:14" x14ac:dyDescent="0.25">
      <c r="C92" t="s">
        <v>53</v>
      </c>
      <c r="F92" s="11"/>
      <c r="G92" s="11"/>
      <c r="H92" s="11"/>
      <c r="I92" s="11">
        <v>676.54</v>
      </c>
      <c r="K92" s="11"/>
      <c r="L92" s="11">
        <f t="shared" si="2"/>
        <v>676.54</v>
      </c>
      <c r="M92" s="55" t="s">
        <v>68</v>
      </c>
      <c r="N92" s="58">
        <v>0</v>
      </c>
    </row>
    <row r="93" spans="2:14" x14ac:dyDescent="0.25">
      <c r="C93" t="s">
        <v>197</v>
      </c>
      <c r="F93" s="11"/>
      <c r="G93" s="11"/>
      <c r="H93" s="11"/>
      <c r="I93" s="11">
        <f>48.79</f>
        <v>48.79</v>
      </c>
      <c r="K93" s="11"/>
      <c r="L93" s="11">
        <f t="shared" si="2"/>
        <v>48.79</v>
      </c>
      <c r="M93" s="55" t="s">
        <v>68</v>
      </c>
      <c r="N93" s="58">
        <v>848.19</v>
      </c>
    </row>
    <row r="94" spans="2:14" x14ac:dyDescent="0.25">
      <c r="C94" t="s">
        <v>198</v>
      </c>
      <c r="F94" s="11"/>
      <c r="G94" s="11"/>
      <c r="H94" s="11"/>
      <c r="I94" s="11">
        <v>215.91</v>
      </c>
      <c r="K94" s="11"/>
      <c r="L94" s="11">
        <f t="shared" si="2"/>
        <v>215.91</v>
      </c>
      <c r="M94" s="55" t="s">
        <v>68</v>
      </c>
      <c r="N94" s="58"/>
    </row>
    <row r="95" spans="2:14" x14ac:dyDescent="0.25">
      <c r="C95" t="s">
        <v>36</v>
      </c>
      <c r="F95" s="11"/>
      <c r="G95" s="11"/>
      <c r="H95" s="11"/>
      <c r="I95" s="11">
        <v>37.86</v>
      </c>
      <c r="K95" s="11"/>
      <c r="L95" s="11">
        <f t="shared" si="2"/>
        <v>37.86</v>
      </c>
      <c r="M95" s="55" t="s">
        <v>68</v>
      </c>
      <c r="N95" s="58">
        <v>0</v>
      </c>
    </row>
    <row r="96" spans="2:14" x14ac:dyDescent="0.25">
      <c r="C96" t="s">
        <v>155</v>
      </c>
      <c r="F96" s="11"/>
      <c r="G96" s="11"/>
      <c r="H96" s="11"/>
      <c r="I96" s="11">
        <f>7162.27+1125</f>
        <v>8287.27</v>
      </c>
      <c r="J96" s="21" t="s">
        <v>183</v>
      </c>
      <c r="K96" s="11">
        <f>989.14-2450</f>
        <v>-1460.8600000000001</v>
      </c>
      <c r="L96" s="11">
        <f t="shared" si="2"/>
        <v>6826.41</v>
      </c>
      <c r="M96" s="55" t="s">
        <v>68</v>
      </c>
      <c r="N96" s="58"/>
    </row>
    <row r="97" spans="2:14" x14ac:dyDescent="0.25">
      <c r="C97" t="s">
        <v>34</v>
      </c>
      <c r="F97" s="11"/>
      <c r="G97" s="11"/>
      <c r="H97" s="11"/>
      <c r="I97" s="11"/>
      <c r="K97" s="11"/>
      <c r="L97" s="11">
        <f t="shared" si="2"/>
        <v>0</v>
      </c>
      <c r="M97" s="55" t="s">
        <v>68</v>
      </c>
      <c r="N97" s="58">
        <v>0</v>
      </c>
    </row>
    <row r="98" spans="2:14" x14ac:dyDescent="0.25">
      <c r="C98" t="s">
        <v>86</v>
      </c>
      <c r="F98" s="11"/>
      <c r="G98" s="11"/>
      <c r="H98" s="11"/>
      <c r="I98" s="11">
        <v>786.51</v>
      </c>
      <c r="J98" s="21" t="s">
        <v>189</v>
      </c>
      <c r="K98" s="11">
        <f>250-125</f>
        <v>125</v>
      </c>
      <c r="L98" s="11">
        <f t="shared" si="2"/>
        <v>911.51</v>
      </c>
      <c r="M98" s="55" t="s">
        <v>68</v>
      </c>
      <c r="N98" s="58">
        <v>11618.710000000001</v>
      </c>
    </row>
    <row r="99" spans="2:14" ht="15.75" x14ac:dyDescent="0.25">
      <c r="B99" s="9" t="s">
        <v>55</v>
      </c>
      <c r="F99" s="11"/>
      <c r="G99" s="11"/>
      <c r="H99" s="11"/>
      <c r="I99" s="11"/>
      <c r="K99" s="11"/>
      <c r="L99" s="11"/>
      <c r="M99" s="55" t="s">
        <v>68</v>
      </c>
      <c r="N99" s="58"/>
    </row>
    <row r="100" spans="2:14" x14ac:dyDescent="0.25">
      <c r="C100" t="s">
        <v>56</v>
      </c>
      <c r="F100" s="11"/>
      <c r="G100" s="11"/>
      <c r="H100" s="11"/>
      <c r="I100" s="11">
        <v>534.62</v>
      </c>
      <c r="K100" s="11"/>
      <c r="L100" s="11">
        <f t="shared" si="2"/>
        <v>534.62</v>
      </c>
      <c r="M100" s="55" t="s">
        <v>68</v>
      </c>
      <c r="N100" s="58">
        <v>675.97</v>
      </c>
    </row>
    <row r="101" spans="2:14" x14ac:dyDescent="0.25">
      <c r="C101" t="s">
        <v>196</v>
      </c>
      <c r="F101" s="11"/>
      <c r="G101" s="11"/>
      <c r="H101" s="11"/>
      <c r="I101" s="11">
        <f>897.77</f>
        <v>897.77</v>
      </c>
      <c r="K101" s="11"/>
      <c r="L101" s="11">
        <f>SUM(F101+G101+H101+I101+K101)</f>
        <v>897.77</v>
      </c>
      <c r="M101" s="55" t="s">
        <v>68</v>
      </c>
      <c r="N101" s="58"/>
    </row>
    <row r="102" spans="2:14" x14ac:dyDescent="0.25">
      <c r="C102" t="s">
        <v>121</v>
      </c>
      <c r="F102" s="11"/>
      <c r="G102" s="11"/>
      <c r="H102" s="11"/>
      <c r="I102" s="11">
        <v>543.12</v>
      </c>
      <c r="K102" s="11"/>
      <c r="L102" s="11">
        <f t="shared" si="2"/>
        <v>543.12</v>
      </c>
      <c r="M102" s="55" t="s">
        <v>68</v>
      </c>
      <c r="N102" s="58">
        <v>395.33</v>
      </c>
    </row>
    <row r="103" spans="2:14" x14ac:dyDescent="0.25">
      <c r="C103" t="s">
        <v>59</v>
      </c>
      <c r="F103" s="11"/>
      <c r="G103" s="11"/>
      <c r="H103" s="11">
        <v>271.43</v>
      </c>
      <c r="I103" s="11">
        <v>200.65</v>
      </c>
      <c r="K103" s="11"/>
      <c r="L103" s="11">
        <f t="shared" si="2"/>
        <v>472.08000000000004</v>
      </c>
      <c r="M103" s="55" t="s">
        <v>68</v>
      </c>
      <c r="N103" s="58">
        <v>589.23</v>
      </c>
    </row>
    <row r="104" spans="2:14" x14ac:dyDescent="0.25">
      <c r="F104" s="11"/>
      <c r="G104" s="11"/>
      <c r="H104" s="11"/>
      <c r="I104" s="11"/>
      <c r="K104" s="11"/>
      <c r="L104" s="11">
        <f t="shared" si="2"/>
        <v>0</v>
      </c>
      <c r="M104" s="55" t="s">
        <v>68</v>
      </c>
      <c r="N104" s="58">
        <v>0</v>
      </c>
    </row>
    <row r="105" spans="2:14" ht="15.75" thickBot="1" x14ac:dyDescent="0.3">
      <c r="F105" s="15">
        <f>SUM(F73:F104)</f>
        <v>0</v>
      </c>
      <c r="G105" s="15">
        <f t="shared" ref="G105:L105" si="3">SUM(G73:G104)</f>
        <v>0</v>
      </c>
      <c r="H105" s="15">
        <f t="shared" si="3"/>
        <v>0</v>
      </c>
      <c r="I105" s="15">
        <f t="shared" si="3"/>
        <v>1.8474111129762605E-12</v>
      </c>
      <c r="J105" s="11"/>
      <c r="K105" s="15">
        <f t="shared" si="3"/>
        <v>2.2737367544323206E-13</v>
      </c>
      <c r="L105" s="15">
        <f t="shared" si="3"/>
        <v>1.5916157281026244E-12</v>
      </c>
      <c r="M105" s="55"/>
      <c r="N105" s="59">
        <v>0</v>
      </c>
    </row>
    <row r="106" spans="2:14" ht="15.75" thickTop="1" x14ac:dyDescent="0.25">
      <c r="F106" s="11"/>
      <c r="G106" s="13" t="s">
        <v>116</v>
      </c>
      <c r="H106" s="13" t="s">
        <v>116</v>
      </c>
      <c r="I106" s="13" t="s">
        <v>116</v>
      </c>
      <c r="K106" s="11"/>
      <c r="L106" s="11"/>
      <c r="M106" s="56"/>
      <c r="N106" s="58"/>
    </row>
    <row r="107" spans="2:14" x14ac:dyDescent="0.25">
      <c r="G107" s="14" t="s">
        <v>117</v>
      </c>
      <c r="H107" s="14" t="s">
        <v>117</v>
      </c>
      <c r="I107" s="14" t="s">
        <v>117</v>
      </c>
      <c r="N107" s="58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2DAD-1BFF-4A65-986B-053F70B520E0}">
  <sheetPr>
    <pageSetUpPr fitToPage="1"/>
  </sheetPr>
  <dimension ref="A1:L69"/>
  <sheetViews>
    <sheetView topLeftCell="A34" workbookViewId="0">
      <selection activeCell="H68" sqref="H68"/>
    </sheetView>
  </sheetViews>
  <sheetFormatPr defaultRowHeight="15" x14ac:dyDescent="0.25"/>
  <cols>
    <col min="1" max="1" width="2" customWidth="1"/>
    <col min="3" max="3" width="33.28515625" customWidth="1"/>
    <col min="4" max="4" width="10.5703125" customWidth="1"/>
    <col min="5" max="5" width="9.85546875" customWidth="1"/>
    <col min="6" max="6" width="1.7109375" customWidth="1"/>
    <col min="7" max="7" width="9.5703125" customWidth="1"/>
    <col min="8" max="8" width="11.5703125" customWidth="1"/>
    <col min="9" max="9" width="2" customWidth="1"/>
    <col min="10" max="10" width="6.85546875" customWidth="1"/>
    <col min="11" max="11" width="7.140625" customWidth="1"/>
    <col min="12" max="12" width="1.42578125" customWidth="1"/>
  </cols>
  <sheetData>
    <row r="1" spans="1:12" ht="21" x14ac:dyDescent="0.35">
      <c r="A1" s="7" t="s">
        <v>0</v>
      </c>
    </row>
    <row r="3" spans="1:12" ht="18.75" x14ac:dyDescent="0.3">
      <c r="A3" s="3" t="s">
        <v>26</v>
      </c>
      <c r="B3" s="3"/>
      <c r="C3" s="3"/>
      <c r="D3" s="10" t="s">
        <v>40</v>
      </c>
      <c r="E3" s="18"/>
      <c r="F3" s="3"/>
      <c r="G3" t="s">
        <v>39</v>
      </c>
      <c r="I3" s="3"/>
      <c r="J3" s="10" t="s">
        <v>40</v>
      </c>
      <c r="K3" s="18"/>
      <c r="L3" s="3"/>
    </row>
    <row r="4" spans="1:12" x14ac:dyDescent="0.25">
      <c r="D4" s="16"/>
      <c r="E4" s="16">
        <v>2021</v>
      </c>
      <c r="F4" s="5"/>
      <c r="G4" s="5"/>
      <c r="H4" s="5">
        <v>2020</v>
      </c>
      <c r="J4" s="16"/>
      <c r="K4" s="16">
        <v>2020</v>
      </c>
    </row>
    <row r="5" spans="1:12" x14ac:dyDescent="0.25">
      <c r="D5" s="17"/>
      <c r="E5" s="17" t="s">
        <v>10</v>
      </c>
      <c r="G5" s="4"/>
      <c r="H5" s="4" t="s">
        <v>10</v>
      </c>
      <c r="J5" s="17"/>
      <c r="K5" s="17" t="s">
        <v>10</v>
      </c>
      <c r="L5" s="4"/>
    </row>
    <row r="6" spans="1:12" ht="15.75" x14ac:dyDescent="0.25">
      <c r="A6" s="9" t="s">
        <v>27</v>
      </c>
      <c r="D6" s="32"/>
      <c r="E6" s="32"/>
      <c r="F6" s="25"/>
      <c r="G6" s="25"/>
      <c r="H6" s="25"/>
      <c r="I6" s="25"/>
      <c r="J6" s="32"/>
      <c r="K6" s="32"/>
      <c r="L6" s="25"/>
    </row>
    <row r="7" spans="1:12" x14ac:dyDescent="0.25">
      <c r="A7" t="s">
        <v>122</v>
      </c>
      <c r="D7" s="32"/>
      <c r="E7" s="32">
        <v>12000</v>
      </c>
      <c r="F7" s="25"/>
      <c r="G7" s="25"/>
      <c r="H7" s="25">
        <v>11753</v>
      </c>
      <c r="I7" s="25"/>
      <c r="J7" s="32"/>
      <c r="K7" s="32">
        <v>12000</v>
      </c>
      <c r="L7" s="25"/>
    </row>
    <row r="8" spans="1:12" x14ac:dyDescent="0.25">
      <c r="A8" t="s">
        <v>29</v>
      </c>
      <c r="D8" s="32"/>
      <c r="E8" s="32">
        <v>600</v>
      </c>
      <c r="F8" s="25"/>
      <c r="G8" s="25"/>
      <c r="H8" s="25">
        <f>663+10</f>
        <v>673</v>
      </c>
      <c r="I8" s="25"/>
      <c r="J8" s="32"/>
      <c r="K8" s="32">
        <v>800</v>
      </c>
      <c r="L8" s="25"/>
    </row>
    <row r="9" spans="1:12" x14ac:dyDescent="0.25">
      <c r="A9" t="s">
        <v>30</v>
      </c>
      <c r="D9" s="32"/>
      <c r="E9" s="32">
        <v>1500</v>
      </c>
      <c r="F9" s="25"/>
      <c r="G9" s="25"/>
      <c r="H9" s="25">
        <v>1500</v>
      </c>
      <c r="I9" s="25"/>
      <c r="J9" s="32"/>
      <c r="K9" s="32">
        <v>1500</v>
      </c>
      <c r="L9" s="25"/>
    </row>
    <row r="10" spans="1:12" x14ac:dyDescent="0.25">
      <c r="A10" t="s">
        <v>31</v>
      </c>
      <c r="D10" s="32"/>
      <c r="E10" s="32">
        <v>350</v>
      </c>
      <c r="F10" s="25"/>
      <c r="G10" s="25"/>
      <c r="H10" s="25">
        <v>300</v>
      </c>
      <c r="I10" s="25"/>
      <c r="J10" s="32"/>
      <c r="K10" s="32">
        <v>450</v>
      </c>
      <c r="L10" s="25"/>
    </row>
    <row r="11" spans="1:12" x14ac:dyDescent="0.25">
      <c r="A11" t="s">
        <v>151</v>
      </c>
      <c r="D11" s="32"/>
      <c r="E11" s="32">
        <v>0</v>
      </c>
      <c r="F11" s="25"/>
      <c r="G11" s="25"/>
      <c r="H11" s="25">
        <v>0</v>
      </c>
      <c r="I11" s="25"/>
      <c r="J11" s="32"/>
      <c r="K11" s="32">
        <v>450</v>
      </c>
      <c r="L11" s="25"/>
    </row>
    <row r="12" spans="1:12" x14ac:dyDescent="0.25">
      <c r="A12" t="s">
        <v>153</v>
      </c>
      <c r="D12" s="32"/>
      <c r="E12" s="32">
        <v>200</v>
      </c>
      <c r="F12" s="25"/>
      <c r="G12" s="25"/>
      <c r="H12" s="25">
        <v>77</v>
      </c>
      <c r="I12" s="25"/>
      <c r="J12" s="32"/>
      <c r="K12" s="32">
        <v>350</v>
      </c>
      <c r="L12" s="25"/>
    </row>
    <row r="13" spans="1:12" x14ac:dyDescent="0.25">
      <c r="A13" t="s">
        <v>170</v>
      </c>
      <c r="D13" s="32"/>
      <c r="E13" s="32">
        <v>200</v>
      </c>
      <c r="F13" s="25"/>
      <c r="G13" s="25"/>
      <c r="H13" s="25">
        <v>175</v>
      </c>
      <c r="I13" s="25"/>
      <c r="J13" s="32"/>
      <c r="K13" s="32">
        <v>200</v>
      </c>
      <c r="L13" s="25"/>
    </row>
    <row r="14" spans="1:12" x14ac:dyDescent="0.25">
      <c r="A14" t="s">
        <v>171</v>
      </c>
      <c r="D14" s="32"/>
      <c r="E14" s="32">
        <v>0</v>
      </c>
      <c r="F14" s="25"/>
      <c r="G14" s="25"/>
      <c r="H14" s="25">
        <v>348</v>
      </c>
      <c r="I14" s="25"/>
      <c r="J14" s="32"/>
      <c r="K14" s="32">
        <v>0</v>
      </c>
      <c r="L14" s="25"/>
    </row>
    <row r="15" spans="1:12" x14ac:dyDescent="0.25">
      <c r="A15" t="s">
        <v>152</v>
      </c>
      <c r="D15" s="32"/>
      <c r="E15" s="32">
        <v>1000</v>
      </c>
      <c r="F15" s="25"/>
      <c r="G15" s="25"/>
      <c r="H15" s="25">
        <v>867</v>
      </c>
      <c r="I15" s="25"/>
      <c r="J15" s="32"/>
      <c r="K15" s="32">
        <v>1200</v>
      </c>
      <c r="L15" s="25"/>
    </row>
    <row r="16" spans="1:12" x14ac:dyDescent="0.25">
      <c r="A16" t="s">
        <v>167</v>
      </c>
      <c r="D16" s="32">
        <f>300*12.5</f>
        <v>3750</v>
      </c>
      <c r="E16" s="32"/>
      <c r="F16" s="25"/>
      <c r="G16" s="25"/>
      <c r="H16" s="25"/>
      <c r="I16" s="25"/>
      <c r="J16" s="32"/>
      <c r="K16" s="32"/>
      <c r="L16" s="25"/>
    </row>
    <row r="17" spans="1:12" x14ac:dyDescent="0.25">
      <c r="A17" t="s">
        <v>172</v>
      </c>
      <c r="D17" s="32">
        <f>1800-625</f>
        <v>1175</v>
      </c>
      <c r="E17" s="32"/>
      <c r="F17" s="25"/>
      <c r="G17" s="25"/>
      <c r="H17" s="25"/>
      <c r="I17" s="25"/>
      <c r="J17" s="32"/>
      <c r="K17" s="32"/>
      <c r="L17" s="25"/>
    </row>
    <row r="18" spans="1:12" x14ac:dyDescent="0.25">
      <c r="A18" t="s">
        <v>144</v>
      </c>
      <c r="D18" s="33">
        <v>2064</v>
      </c>
      <c r="E18" s="32"/>
      <c r="F18" s="25"/>
      <c r="G18" s="25"/>
      <c r="H18" s="25">
        <v>776</v>
      </c>
      <c r="I18" s="25"/>
      <c r="J18" s="32"/>
      <c r="K18" s="32">
        <f>1210+775</f>
        <v>1985</v>
      </c>
      <c r="L18" s="25"/>
    </row>
    <row r="19" spans="1:12" x14ac:dyDescent="0.25">
      <c r="D19" s="32"/>
      <c r="E19" s="32">
        <f>SUM(D16:D18)</f>
        <v>6989</v>
      </c>
      <c r="F19" s="25"/>
      <c r="G19" s="25"/>
      <c r="H19" s="25"/>
      <c r="I19" s="25"/>
      <c r="J19" s="32"/>
      <c r="K19" s="32"/>
      <c r="L19" s="25"/>
    </row>
    <row r="20" spans="1:12" x14ac:dyDescent="0.25">
      <c r="A20" t="s">
        <v>34</v>
      </c>
      <c r="D20" s="32"/>
      <c r="E20" s="32">
        <v>0</v>
      </c>
      <c r="F20" s="25"/>
      <c r="G20" s="25"/>
      <c r="H20" s="25">
        <v>0</v>
      </c>
      <c r="I20" s="25"/>
      <c r="J20" s="32"/>
      <c r="K20" s="32">
        <v>600</v>
      </c>
      <c r="L20" s="25"/>
    </row>
    <row r="21" spans="1:12" x14ac:dyDescent="0.25">
      <c r="A21" t="s">
        <v>35</v>
      </c>
      <c r="D21" s="32"/>
      <c r="E21" s="32">
        <v>0</v>
      </c>
      <c r="F21" s="25"/>
      <c r="G21" s="25"/>
      <c r="H21" s="25">
        <v>0</v>
      </c>
      <c r="I21" s="25"/>
      <c r="J21" s="32"/>
      <c r="K21" s="32">
        <v>300</v>
      </c>
      <c r="L21" s="25"/>
    </row>
    <row r="22" spans="1:12" x14ac:dyDescent="0.25">
      <c r="A22" t="s">
        <v>36</v>
      </c>
      <c r="D22" s="32"/>
      <c r="E22" s="32">
        <v>500</v>
      </c>
      <c r="F22" s="25"/>
      <c r="G22" s="25"/>
      <c r="H22" s="25">
        <v>500</v>
      </c>
      <c r="I22" s="25"/>
      <c r="J22" s="32"/>
      <c r="K22" s="32">
        <v>500</v>
      </c>
      <c r="L22" s="25"/>
    </row>
    <row r="23" spans="1:12" x14ac:dyDescent="0.25">
      <c r="A23" t="s">
        <v>160</v>
      </c>
      <c r="D23" s="32"/>
      <c r="E23" s="32">
        <v>1000</v>
      </c>
      <c r="F23" s="25"/>
      <c r="G23" s="25"/>
      <c r="H23" s="25">
        <f>14476+1088</f>
        <v>15564</v>
      </c>
      <c r="I23" s="25"/>
      <c r="J23" s="32"/>
      <c r="K23" s="32">
        <v>2400</v>
      </c>
      <c r="L23" s="25"/>
    </row>
    <row r="24" spans="1:12" x14ac:dyDescent="0.25">
      <c r="A24" t="s">
        <v>38</v>
      </c>
      <c r="D24" s="32"/>
      <c r="E24" s="32">
        <v>5</v>
      </c>
      <c r="F24" s="25"/>
      <c r="G24" s="25"/>
      <c r="H24" s="25">
        <v>4</v>
      </c>
      <c r="I24" s="25"/>
      <c r="J24" s="32"/>
      <c r="K24" s="32">
        <v>0</v>
      </c>
      <c r="L24" s="25"/>
    </row>
    <row r="25" spans="1:12" ht="15.75" x14ac:dyDescent="0.25">
      <c r="A25" s="9" t="s">
        <v>49</v>
      </c>
      <c r="D25" s="32"/>
      <c r="E25" s="34">
        <f>SUM(E7:E24)</f>
        <v>24344</v>
      </c>
      <c r="F25" s="25"/>
      <c r="G25" s="25"/>
      <c r="H25" s="35">
        <f>SUM(H7:H24)</f>
        <v>32537</v>
      </c>
      <c r="I25" s="25"/>
      <c r="J25" s="32"/>
      <c r="K25" s="34">
        <f>SUM(K7:K24)</f>
        <v>22735</v>
      </c>
      <c r="L25" s="25"/>
    </row>
    <row r="26" spans="1:12" x14ac:dyDescent="0.25">
      <c r="D26" s="32"/>
      <c r="E26" s="32"/>
      <c r="F26" s="25"/>
      <c r="G26" s="25"/>
      <c r="H26" s="25"/>
      <c r="I26" s="25"/>
      <c r="J26" s="32"/>
      <c r="K26" s="32"/>
      <c r="L26" s="25"/>
    </row>
    <row r="27" spans="1:12" ht="18.75" x14ac:dyDescent="0.3">
      <c r="A27" s="3" t="s">
        <v>41</v>
      </c>
      <c r="D27" s="32"/>
      <c r="E27" s="32"/>
      <c r="F27" s="25"/>
      <c r="G27" s="25"/>
      <c r="H27" s="25"/>
      <c r="I27" s="25"/>
      <c r="J27" s="32"/>
      <c r="K27" s="32"/>
      <c r="L27" s="25"/>
    </row>
    <row r="28" spans="1:12" x14ac:dyDescent="0.25">
      <c r="A28" s="2" t="s">
        <v>42</v>
      </c>
      <c r="D28" s="32"/>
      <c r="E28" s="32"/>
      <c r="F28" s="25"/>
      <c r="G28" s="25"/>
      <c r="H28" s="25"/>
      <c r="I28" s="25"/>
      <c r="J28" s="32"/>
      <c r="K28" s="32"/>
      <c r="L28" s="25"/>
    </row>
    <row r="29" spans="1:12" x14ac:dyDescent="0.25">
      <c r="B29" t="s">
        <v>43</v>
      </c>
      <c r="D29" s="32">
        <v>1200</v>
      </c>
      <c r="E29" s="32"/>
      <c r="F29" s="25"/>
      <c r="G29" s="25">
        <f>1325-212</f>
        <v>1113</v>
      </c>
      <c r="H29" s="25"/>
      <c r="I29" s="25"/>
      <c r="J29" s="32">
        <v>1400</v>
      </c>
      <c r="K29" s="32"/>
      <c r="L29" s="25"/>
    </row>
    <row r="30" spans="1:12" x14ac:dyDescent="0.25">
      <c r="B30" t="s">
        <v>103</v>
      </c>
      <c r="D30" s="32"/>
      <c r="E30" s="32"/>
      <c r="F30" s="25"/>
      <c r="G30" s="25"/>
      <c r="H30" s="25"/>
      <c r="I30" s="25"/>
      <c r="J30" s="32"/>
      <c r="K30" s="32"/>
      <c r="L30" s="25"/>
    </row>
    <row r="31" spans="1:12" x14ac:dyDescent="0.25">
      <c r="B31" t="s">
        <v>104</v>
      </c>
      <c r="D31" s="32">
        <v>750</v>
      </c>
      <c r="E31" s="32"/>
      <c r="F31" s="25"/>
      <c r="G31" s="25">
        <f>147+578</f>
        <v>725</v>
      </c>
      <c r="H31" s="25"/>
      <c r="I31" s="25"/>
      <c r="J31" s="32">
        <v>1000</v>
      </c>
      <c r="K31" s="32"/>
      <c r="L31" s="25"/>
    </row>
    <row r="32" spans="1:12" x14ac:dyDescent="0.25">
      <c r="B32" t="s">
        <v>45</v>
      </c>
      <c r="D32" s="32">
        <v>500</v>
      </c>
      <c r="E32" s="32"/>
      <c r="F32" s="25"/>
      <c r="G32" s="25">
        <v>541</v>
      </c>
      <c r="H32" s="25"/>
      <c r="I32" s="25"/>
      <c r="J32" s="32">
        <v>500</v>
      </c>
      <c r="K32" s="32"/>
      <c r="L32" s="25"/>
    </row>
    <row r="33" spans="1:12" x14ac:dyDescent="0.25">
      <c r="B33" t="s">
        <v>46</v>
      </c>
      <c r="D33" s="32">
        <v>600</v>
      </c>
      <c r="E33" s="32"/>
      <c r="F33" s="25"/>
      <c r="G33" s="25">
        <v>504</v>
      </c>
      <c r="H33" s="25"/>
      <c r="I33" s="25"/>
      <c r="J33" s="32">
        <v>600</v>
      </c>
      <c r="K33" s="32"/>
      <c r="L33" s="25"/>
    </row>
    <row r="34" spans="1:12" x14ac:dyDescent="0.25">
      <c r="B34" t="s">
        <v>47</v>
      </c>
      <c r="D34" s="32">
        <v>1100</v>
      </c>
      <c r="E34" s="32"/>
      <c r="F34" s="25"/>
      <c r="G34" s="25">
        <v>1093</v>
      </c>
      <c r="H34" s="25"/>
      <c r="I34" s="25"/>
      <c r="J34" s="32">
        <v>1100</v>
      </c>
      <c r="K34" s="32"/>
      <c r="L34" s="25"/>
    </row>
    <row r="35" spans="1:12" x14ac:dyDescent="0.25">
      <c r="B35" s="45" t="s">
        <v>163</v>
      </c>
      <c r="C35" s="45"/>
      <c r="D35" s="51">
        <v>4500</v>
      </c>
      <c r="E35" s="32"/>
      <c r="F35" s="25"/>
      <c r="G35" s="28">
        <f>6715</f>
        <v>6715</v>
      </c>
      <c r="H35" s="25"/>
      <c r="I35" s="25"/>
      <c r="J35" s="33">
        <v>2775</v>
      </c>
      <c r="K35" s="32"/>
      <c r="L35" s="25"/>
    </row>
    <row r="36" spans="1:12" x14ac:dyDescent="0.25">
      <c r="D36" s="32"/>
      <c r="E36" s="32">
        <f>SUM(D29:D35)</f>
        <v>8650</v>
      </c>
      <c r="F36" s="25"/>
      <c r="G36" s="25"/>
      <c r="H36" s="25">
        <f>SUM(G29:G35)</f>
        <v>10691</v>
      </c>
      <c r="I36" s="25"/>
      <c r="J36" s="32"/>
      <c r="K36" s="32">
        <f>SUM(J29:J35)</f>
        <v>7375</v>
      </c>
      <c r="L36" s="25"/>
    </row>
    <row r="37" spans="1:12" ht="15.75" x14ac:dyDescent="0.25">
      <c r="A37" s="9" t="s">
        <v>50</v>
      </c>
      <c r="D37" s="32"/>
      <c r="E37" s="32"/>
      <c r="F37" s="25"/>
      <c r="G37" s="25"/>
      <c r="H37" s="25"/>
      <c r="I37" s="25"/>
      <c r="J37" s="32"/>
      <c r="K37" s="32"/>
      <c r="L37" s="25"/>
    </row>
    <row r="38" spans="1:12" x14ac:dyDescent="0.25">
      <c r="B38" t="s">
        <v>51</v>
      </c>
      <c r="D38" s="32">
        <v>7500</v>
      </c>
      <c r="E38" s="32"/>
      <c r="F38" s="25"/>
      <c r="G38" s="25">
        <f>6353+1376</f>
        <v>7729</v>
      </c>
      <c r="H38" s="25"/>
      <c r="I38" s="25"/>
      <c r="J38" s="32">
        <v>7500</v>
      </c>
      <c r="K38" s="32"/>
      <c r="L38" s="25"/>
    </row>
    <row r="39" spans="1:12" x14ac:dyDescent="0.25">
      <c r="B39" t="s">
        <v>161</v>
      </c>
      <c r="D39" s="32">
        <v>0</v>
      </c>
      <c r="E39" s="32"/>
      <c r="F39" s="25"/>
      <c r="G39" s="25">
        <v>260</v>
      </c>
      <c r="H39" s="25"/>
      <c r="I39" s="25"/>
      <c r="J39" s="32">
        <v>0</v>
      </c>
      <c r="K39" s="32"/>
      <c r="L39" s="25"/>
    </row>
    <row r="40" spans="1:12" x14ac:dyDescent="0.25">
      <c r="B40" t="s">
        <v>52</v>
      </c>
      <c r="D40" s="32">
        <v>500</v>
      </c>
      <c r="E40" s="32"/>
      <c r="F40" s="25"/>
      <c r="G40" s="25">
        <v>707</v>
      </c>
      <c r="H40" s="25"/>
      <c r="I40" s="25"/>
      <c r="J40" s="32">
        <v>1000</v>
      </c>
      <c r="K40" s="32"/>
      <c r="L40" s="25"/>
    </row>
    <row r="41" spans="1:12" x14ac:dyDescent="0.25">
      <c r="B41" t="s">
        <v>53</v>
      </c>
      <c r="D41" s="32">
        <v>500</v>
      </c>
      <c r="E41" s="32"/>
      <c r="F41" s="25"/>
      <c r="G41" s="25">
        <v>0</v>
      </c>
      <c r="H41" s="25"/>
      <c r="I41" s="25"/>
      <c r="J41" s="32">
        <v>700</v>
      </c>
      <c r="K41" s="32"/>
      <c r="L41" s="25"/>
    </row>
    <row r="42" spans="1:12" x14ac:dyDescent="0.25">
      <c r="B42" t="s">
        <v>128</v>
      </c>
      <c r="D42" s="32">
        <v>0</v>
      </c>
      <c r="E42" s="32"/>
      <c r="F42" s="25"/>
      <c r="G42" s="25">
        <v>0</v>
      </c>
      <c r="H42" s="25"/>
      <c r="I42" s="25"/>
      <c r="J42" s="32">
        <v>0</v>
      </c>
      <c r="K42" s="32"/>
      <c r="L42" s="25"/>
    </row>
    <row r="43" spans="1:12" x14ac:dyDescent="0.25">
      <c r="B43" t="s">
        <v>131</v>
      </c>
      <c r="D43" s="32">
        <v>2064</v>
      </c>
      <c r="E43" s="32"/>
      <c r="F43" s="25"/>
      <c r="G43" s="25">
        <v>0</v>
      </c>
      <c r="H43" s="25"/>
      <c r="I43" s="25"/>
      <c r="J43" s="32">
        <f>1210</f>
        <v>1210</v>
      </c>
      <c r="K43" s="32"/>
      <c r="L43" s="25"/>
    </row>
    <row r="44" spans="1:12" x14ac:dyDescent="0.25">
      <c r="A44" s="42"/>
      <c r="B44" s="42" t="s">
        <v>174</v>
      </c>
      <c r="C44" s="42"/>
      <c r="D44" s="48">
        <f>9245-3000</f>
        <v>6245</v>
      </c>
      <c r="E44" s="32"/>
      <c r="F44" s="25"/>
      <c r="G44" s="25">
        <v>0</v>
      </c>
      <c r="H44" s="25"/>
      <c r="I44" s="25"/>
      <c r="J44" s="32">
        <v>0</v>
      </c>
      <c r="K44" s="32"/>
      <c r="L44" s="25"/>
    </row>
    <row r="45" spans="1:12" x14ac:dyDescent="0.25">
      <c r="B45" t="s">
        <v>129</v>
      </c>
      <c r="D45" s="32">
        <v>0</v>
      </c>
      <c r="E45" s="32"/>
      <c r="F45" s="25"/>
      <c r="G45" s="25">
        <v>11619</v>
      </c>
      <c r="H45" s="25"/>
      <c r="I45" s="25"/>
      <c r="J45" s="32">
        <v>1800</v>
      </c>
      <c r="K45" s="32"/>
      <c r="L45" s="25"/>
    </row>
    <row r="46" spans="1:12" x14ac:dyDescent="0.25">
      <c r="B46" t="s">
        <v>166</v>
      </c>
      <c r="D46" s="32">
        <v>600</v>
      </c>
      <c r="E46" s="32"/>
      <c r="F46" s="25"/>
      <c r="G46" s="25">
        <v>216</v>
      </c>
      <c r="H46" s="25"/>
      <c r="I46" s="25"/>
      <c r="J46" s="32">
        <v>0</v>
      </c>
      <c r="K46" s="32"/>
      <c r="L46" s="25"/>
    </row>
    <row r="47" spans="1:12" x14ac:dyDescent="0.25">
      <c r="B47" t="s">
        <v>54</v>
      </c>
      <c r="D47" s="32">
        <v>100</v>
      </c>
      <c r="E47" s="32"/>
      <c r="F47" s="25"/>
      <c r="G47" s="25">
        <f>848-216</f>
        <v>632</v>
      </c>
      <c r="H47" s="25"/>
      <c r="I47" s="25"/>
      <c r="J47" s="32">
        <v>100</v>
      </c>
      <c r="K47" s="32"/>
      <c r="L47" s="25"/>
    </row>
    <row r="48" spans="1:12" x14ac:dyDescent="0.25">
      <c r="B48" t="s">
        <v>36</v>
      </c>
      <c r="D48" s="32">
        <v>0</v>
      </c>
      <c r="E48" s="32"/>
      <c r="F48" s="25"/>
      <c r="G48" s="25">
        <v>0</v>
      </c>
      <c r="H48" s="25"/>
      <c r="I48" s="25"/>
      <c r="J48" s="32">
        <v>100</v>
      </c>
      <c r="K48" s="32"/>
      <c r="L48" s="25"/>
    </row>
    <row r="49" spans="1:12" x14ac:dyDescent="0.25">
      <c r="B49" t="s">
        <v>34</v>
      </c>
      <c r="D49" s="33">
        <v>0</v>
      </c>
      <c r="E49" s="32"/>
      <c r="F49" s="25"/>
      <c r="G49" s="28">
        <v>0</v>
      </c>
      <c r="H49" s="25"/>
      <c r="I49" s="25"/>
      <c r="J49" s="33">
        <v>100</v>
      </c>
      <c r="K49" s="32"/>
      <c r="L49" s="25"/>
    </row>
    <row r="50" spans="1:12" x14ac:dyDescent="0.25">
      <c r="D50" s="32"/>
      <c r="E50" s="32">
        <f>SUM(D38:D49)</f>
        <v>17509</v>
      </c>
      <c r="F50" s="25"/>
      <c r="G50" s="25"/>
      <c r="H50" s="25">
        <f>SUM(G38:G49)</f>
        <v>21163</v>
      </c>
      <c r="I50" s="25"/>
      <c r="J50" s="32"/>
      <c r="K50" s="32">
        <f>SUM(J38:J49)</f>
        <v>12510</v>
      </c>
      <c r="L50" s="25"/>
    </row>
    <row r="51" spans="1:12" ht="15.75" x14ac:dyDescent="0.25">
      <c r="A51" s="9" t="s">
        <v>55</v>
      </c>
      <c r="D51" s="32"/>
      <c r="E51" s="32"/>
      <c r="F51" s="25"/>
      <c r="G51" s="25"/>
      <c r="H51" s="25"/>
      <c r="I51" s="25"/>
      <c r="J51" s="32"/>
      <c r="K51" s="32"/>
      <c r="L51" s="25"/>
    </row>
    <row r="52" spans="1:12" x14ac:dyDescent="0.25">
      <c r="B52" t="s">
        <v>56</v>
      </c>
      <c r="D52" s="32">
        <v>500</v>
      </c>
      <c r="E52" s="32"/>
      <c r="F52" s="25"/>
      <c r="G52" s="25">
        <v>676</v>
      </c>
      <c r="H52" s="25"/>
      <c r="I52" s="25"/>
      <c r="J52" s="32">
        <v>500</v>
      </c>
      <c r="K52" s="32"/>
      <c r="L52" s="25"/>
    </row>
    <row r="53" spans="1:12" x14ac:dyDescent="0.25">
      <c r="B53" t="s">
        <v>169</v>
      </c>
      <c r="D53" s="32">
        <v>900</v>
      </c>
      <c r="E53" s="32"/>
      <c r="F53" s="25"/>
      <c r="G53" s="25">
        <v>0</v>
      </c>
      <c r="H53" s="25"/>
      <c r="I53" s="25"/>
      <c r="J53" s="32">
        <v>0</v>
      </c>
      <c r="K53" s="32"/>
      <c r="L53" s="25"/>
    </row>
    <row r="54" spans="1:12" x14ac:dyDescent="0.25">
      <c r="B54" t="s">
        <v>121</v>
      </c>
      <c r="D54" s="32">
        <v>300</v>
      </c>
      <c r="E54" s="32"/>
      <c r="F54" s="25"/>
      <c r="G54" s="25">
        <v>395</v>
      </c>
      <c r="H54" s="25"/>
      <c r="I54" s="25"/>
      <c r="J54" s="32">
        <v>300</v>
      </c>
      <c r="K54" s="32"/>
      <c r="L54" s="25"/>
    </row>
    <row r="55" spans="1:12" x14ac:dyDescent="0.25">
      <c r="B55" t="s">
        <v>59</v>
      </c>
      <c r="D55" s="33">
        <v>450</v>
      </c>
      <c r="E55" s="32"/>
      <c r="F55" s="25"/>
      <c r="G55" s="28">
        <v>589</v>
      </c>
      <c r="H55" s="25"/>
      <c r="I55" s="25"/>
      <c r="J55" s="33">
        <v>425</v>
      </c>
      <c r="K55" s="32"/>
      <c r="L55" s="25"/>
    </row>
    <row r="56" spans="1:12" x14ac:dyDescent="0.25">
      <c r="D56" s="32"/>
      <c r="E56" s="33">
        <f>SUM(D52:D55)</f>
        <v>2150</v>
      </c>
      <c r="F56" s="25"/>
      <c r="G56" s="25"/>
      <c r="H56" s="28">
        <f>SUM(G52:G55)</f>
        <v>1660</v>
      </c>
      <c r="I56" s="25"/>
      <c r="J56" s="32"/>
      <c r="K56" s="32">
        <f>SUM(J52:J55)</f>
        <v>1225</v>
      </c>
      <c r="L56" s="25"/>
    </row>
    <row r="57" spans="1:12" ht="15.75" x14ac:dyDescent="0.25">
      <c r="A57" s="9" t="s">
        <v>60</v>
      </c>
      <c r="D57" s="32"/>
      <c r="E57" s="34">
        <f>SUM(E27:E56)</f>
        <v>28309</v>
      </c>
      <c r="F57" s="25"/>
      <c r="G57" s="25"/>
      <c r="H57" s="35">
        <f>SUM(H27:H56)</f>
        <v>33514</v>
      </c>
      <c r="I57" s="25"/>
      <c r="J57" s="32"/>
      <c r="K57" s="34">
        <f>SUM(K28:K56)</f>
        <v>21110</v>
      </c>
      <c r="L57" s="25"/>
    </row>
    <row r="58" spans="1:12" x14ac:dyDescent="0.25">
      <c r="D58" s="32"/>
      <c r="E58" s="32"/>
      <c r="F58" s="25"/>
      <c r="G58" s="25"/>
      <c r="H58" s="25"/>
      <c r="I58" s="25"/>
      <c r="J58" s="32"/>
      <c r="K58" s="32"/>
      <c r="L58" s="25"/>
    </row>
    <row r="59" spans="1:12" ht="15.75" thickBot="1" x14ac:dyDescent="0.3">
      <c r="A59" t="s">
        <v>61</v>
      </c>
      <c r="D59" s="32"/>
      <c r="E59" s="36">
        <f>E25-E57</f>
        <v>-3965</v>
      </c>
      <c r="F59" s="25"/>
      <c r="G59" s="25"/>
      <c r="H59" s="37">
        <f>H25-H57</f>
        <v>-977</v>
      </c>
      <c r="I59" s="25"/>
      <c r="J59" s="32"/>
      <c r="K59" s="36">
        <f>K25-K57</f>
        <v>1625</v>
      </c>
      <c r="L59" s="25"/>
    </row>
    <row r="60" spans="1:12" ht="15.75" thickTop="1" x14ac:dyDescent="0.25">
      <c r="J60" s="25"/>
      <c r="K60" s="25"/>
      <c r="L60" s="25"/>
    </row>
    <row r="61" spans="1:12" x14ac:dyDescent="0.25">
      <c r="A61" s="44" t="s">
        <v>163</v>
      </c>
      <c r="B61" s="44"/>
      <c r="C61" s="44"/>
      <c r="D61" s="45"/>
      <c r="L61" s="25"/>
    </row>
    <row r="62" spans="1:12" x14ac:dyDescent="0.25">
      <c r="A62" s="45" t="s">
        <v>149</v>
      </c>
      <c r="B62" s="45"/>
      <c r="C62" s="45"/>
      <c r="D62" s="46">
        <v>2500</v>
      </c>
      <c r="L62" s="25"/>
    </row>
    <row r="63" spans="1:12" x14ac:dyDescent="0.25">
      <c r="A63" s="45" t="s">
        <v>168</v>
      </c>
      <c r="B63" s="45"/>
      <c r="C63" s="45"/>
      <c r="D63" s="46">
        <v>2000</v>
      </c>
      <c r="H63" s="25"/>
      <c r="J63" s="25"/>
      <c r="K63" s="25"/>
      <c r="L63" s="25"/>
    </row>
    <row r="64" spans="1:12" ht="15.75" thickBot="1" x14ac:dyDescent="0.3">
      <c r="A64" s="45"/>
      <c r="B64" s="45"/>
      <c r="C64" s="45"/>
      <c r="D64" s="47">
        <f>SUM(D62:D63)</f>
        <v>4500</v>
      </c>
      <c r="J64" s="25"/>
      <c r="K64" s="25"/>
      <c r="L64" s="25"/>
    </row>
    <row r="65" spans="1:12" ht="15.75" thickTop="1" x14ac:dyDescent="0.25">
      <c r="J65" s="25"/>
      <c r="K65" s="25"/>
      <c r="L65" s="25"/>
    </row>
    <row r="66" spans="1:12" x14ac:dyDescent="0.25">
      <c r="A66" s="42" t="s">
        <v>173</v>
      </c>
      <c r="B66" s="42"/>
      <c r="C66" s="43"/>
      <c r="D66" s="42"/>
      <c r="E66" s="42"/>
      <c r="J66" s="25"/>
      <c r="K66" s="25"/>
      <c r="L66" s="25"/>
    </row>
    <row r="67" spans="1:12" ht="15.75" thickBot="1" x14ac:dyDescent="0.3">
      <c r="E67" s="50">
        <v>3000</v>
      </c>
      <c r="J67" s="25"/>
      <c r="K67" s="25"/>
      <c r="L67" s="25"/>
    </row>
    <row r="68" spans="1:12" ht="15.75" thickTop="1" x14ac:dyDescent="0.25">
      <c r="J68" s="25"/>
      <c r="K68" s="25"/>
      <c r="L68" s="25"/>
    </row>
    <row r="69" spans="1:12" x14ac:dyDescent="0.25">
      <c r="L69" s="25"/>
    </row>
  </sheetData>
  <pageMargins left="0.7" right="0.7" top="0.75" bottom="0.75" header="0.3" footer="0.3"/>
  <pageSetup paperSize="9"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D506-5B04-48C4-A9C5-93CD761DCBCF}">
  <sheetPr>
    <pageSetUpPr fitToPage="1"/>
  </sheetPr>
  <dimension ref="A1:H38"/>
  <sheetViews>
    <sheetView workbookViewId="0">
      <selection sqref="A1:XFD1048576"/>
    </sheetView>
  </sheetViews>
  <sheetFormatPr defaultRowHeight="15" x14ac:dyDescent="0.25"/>
  <cols>
    <col min="1" max="1" width="2" customWidth="1"/>
    <col min="2" max="2" width="36.5703125" customWidth="1"/>
    <col min="3" max="3" width="13.42578125" customWidth="1"/>
    <col min="4" max="4" width="15.42578125" customWidth="1"/>
    <col min="5" max="5" width="2.140625" customWidth="1"/>
    <col min="6" max="7" width="11.42578125" customWidth="1"/>
    <col min="8" max="8" width="2.5703125" customWidth="1"/>
  </cols>
  <sheetData>
    <row r="1" spans="1:8" ht="21" x14ac:dyDescent="0.35">
      <c r="A1" s="7" t="s">
        <v>0</v>
      </c>
      <c r="B1" s="7"/>
      <c r="C1" s="7"/>
      <c r="D1" s="7"/>
      <c r="E1" s="7"/>
      <c r="F1" s="7"/>
      <c r="G1" s="7"/>
      <c r="H1" s="7"/>
    </row>
    <row r="3" spans="1:8" ht="21" x14ac:dyDescent="0.35">
      <c r="A3" s="8" t="s">
        <v>1</v>
      </c>
    </row>
    <row r="4" spans="1:8" x14ac:dyDescent="0.25">
      <c r="D4" s="49">
        <v>44196</v>
      </c>
      <c r="G4" s="49">
        <v>43830</v>
      </c>
    </row>
    <row r="5" spans="1:8" ht="18.75" x14ac:dyDescent="0.3">
      <c r="B5" s="3" t="s">
        <v>2</v>
      </c>
      <c r="D5" s="4" t="s">
        <v>9</v>
      </c>
      <c r="E5" s="3"/>
      <c r="G5" s="4" t="s">
        <v>9</v>
      </c>
    </row>
    <row r="6" spans="1:8" x14ac:dyDescent="0.25">
      <c r="A6" s="2" t="s">
        <v>12</v>
      </c>
      <c r="C6" s="25"/>
      <c r="D6" s="25"/>
      <c r="F6" s="25"/>
      <c r="G6" s="25"/>
      <c r="H6" s="25"/>
    </row>
    <row r="7" spans="1:8" x14ac:dyDescent="0.25">
      <c r="B7" t="s">
        <v>13</v>
      </c>
      <c r="C7" s="25"/>
      <c r="D7" s="26" t="s">
        <v>11</v>
      </c>
      <c r="F7" s="25"/>
      <c r="G7" s="26" t="s">
        <v>11</v>
      </c>
      <c r="H7" s="25"/>
    </row>
    <row r="8" spans="1:8" x14ac:dyDescent="0.25">
      <c r="C8" s="25"/>
      <c r="D8" s="25"/>
      <c r="F8" s="25"/>
      <c r="G8" s="25"/>
      <c r="H8" s="25"/>
    </row>
    <row r="9" spans="1:8" x14ac:dyDescent="0.25">
      <c r="A9" s="2" t="s">
        <v>3</v>
      </c>
      <c r="C9" s="25"/>
      <c r="D9" s="25"/>
      <c r="F9" s="25"/>
      <c r="G9" s="25"/>
      <c r="H9" s="25"/>
    </row>
    <row r="10" spans="1:8" x14ac:dyDescent="0.25">
      <c r="B10" t="s">
        <v>21</v>
      </c>
      <c r="C10" s="25"/>
      <c r="D10" s="25"/>
      <c r="F10" s="25"/>
      <c r="G10" s="25"/>
      <c r="H10" s="25"/>
    </row>
    <row r="11" spans="1:8" x14ac:dyDescent="0.25">
      <c r="B11" t="s">
        <v>19</v>
      </c>
      <c r="C11" s="25">
        <v>37</v>
      </c>
      <c r="D11" s="25"/>
      <c r="F11" s="25">
        <v>54</v>
      </c>
      <c r="G11" s="27"/>
      <c r="H11" s="27"/>
    </row>
    <row r="12" spans="1:8" x14ac:dyDescent="0.25">
      <c r="B12" t="s">
        <v>164</v>
      </c>
      <c r="C12" s="25">
        <v>1150</v>
      </c>
      <c r="D12" s="25"/>
      <c r="F12" s="25">
        <v>1818</v>
      </c>
      <c r="G12" s="27"/>
      <c r="H12" s="27"/>
    </row>
    <row r="13" spans="1:8" x14ac:dyDescent="0.25">
      <c r="B13" t="s">
        <v>162</v>
      </c>
      <c r="C13" s="25">
        <v>989</v>
      </c>
      <c r="D13" s="25"/>
      <c r="F13" s="25">
        <v>0</v>
      </c>
      <c r="G13" s="27"/>
      <c r="H13" s="27"/>
    </row>
    <row r="14" spans="1:8" x14ac:dyDescent="0.25">
      <c r="B14" t="s">
        <v>165</v>
      </c>
      <c r="C14" s="25">
        <v>300</v>
      </c>
      <c r="D14" s="25"/>
      <c r="F14" s="25">
        <v>0</v>
      </c>
      <c r="G14" s="27"/>
      <c r="H14" s="27"/>
    </row>
    <row r="15" spans="1:8" x14ac:dyDescent="0.25">
      <c r="B15" s="6" t="s">
        <v>4</v>
      </c>
      <c r="C15" s="28">
        <v>0</v>
      </c>
      <c r="D15" s="25"/>
      <c r="E15" s="6"/>
      <c r="F15" s="28">
        <f>375+199</f>
        <v>574</v>
      </c>
      <c r="G15" s="25"/>
      <c r="H15" s="25"/>
    </row>
    <row r="16" spans="1:8" x14ac:dyDescent="0.25">
      <c r="C16" s="25"/>
      <c r="D16" s="25">
        <f>SUM(C10:C15)</f>
        <v>2476</v>
      </c>
      <c r="F16" s="25"/>
      <c r="G16" s="25">
        <f>SUM(F10:F15)</f>
        <v>2446</v>
      </c>
      <c r="H16" s="25"/>
    </row>
    <row r="17" spans="1:8" x14ac:dyDescent="0.25">
      <c r="A17" s="2" t="s">
        <v>5</v>
      </c>
      <c r="B17" s="2"/>
      <c r="C17" s="29"/>
      <c r="D17" s="29"/>
      <c r="E17" s="2"/>
      <c r="F17" s="29"/>
      <c r="G17" s="29"/>
      <c r="H17" s="29"/>
    </row>
    <row r="18" spans="1:8" x14ac:dyDescent="0.25">
      <c r="B18" t="s">
        <v>6</v>
      </c>
      <c r="C18" s="25">
        <v>100</v>
      </c>
      <c r="D18" s="25"/>
      <c r="F18" s="25">
        <v>207</v>
      </c>
      <c r="G18" s="25"/>
      <c r="H18" s="25"/>
    </row>
    <row r="19" spans="1:8" x14ac:dyDescent="0.25">
      <c r="B19" t="s">
        <v>7</v>
      </c>
      <c r="C19" s="25">
        <f>45004+533</f>
        <v>45537</v>
      </c>
      <c r="D19" s="25"/>
      <c r="F19" s="25">
        <v>47738</v>
      </c>
      <c r="G19" s="25"/>
      <c r="H19" s="25"/>
    </row>
    <row r="20" spans="1:8" x14ac:dyDescent="0.25">
      <c r="B20" t="s">
        <v>8</v>
      </c>
      <c r="C20" s="28">
        <v>147</v>
      </c>
      <c r="D20" s="25"/>
      <c r="F20" s="28">
        <v>135</v>
      </c>
      <c r="G20" s="25"/>
      <c r="H20" s="25"/>
    </row>
    <row r="21" spans="1:8" x14ac:dyDescent="0.25">
      <c r="C21" s="25"/>
      <c r="D21" s="25">
        <f>SUM(C18:C20)</f>
        <v>45784</v>
      </c>
      <c r="F21" s="25"/>
      <c r="G21" s="25">
        <f>SUM(F18:F20)</f>
        <v>48080</v>
      </c>
      <c r="H21" s="25"/>
    </row>
    <row r="22" spans="1:8" ht="15.75" thickBot="1" x14ac:dyDescent="0.3">
      <c r="C22" s="25"/>
      <c r="D22" s="30">
        <f>SUM(D8:D21)</f>
        <v>48260</v>
      </c>
      <c r="F22" s="25"/>
      <c r="G22" s="30">
        <f>SUM(G8:G21)</f>
        <v>50526</v>
      </c>
      <c r="H22" s="25"/>
    </row>
    <row r="23" spans="1:8" ht="19.5" thickTop="1" x14ac:dyDescent="0.3">
      <c r="B23" s="3" t="s">
        <v>14</v>
      </c>
      <c r="C23" s="25"/>
      <c r="D23" s="25"/>
      <c r="E23" s="3"/>
      <c r="F23" s="25"/>
      <c r="G23" s="25"/>
      <c r="H23" s="25"/>
    </row>
    <row r="24" spans="1:8" x14ac:dyDescent="0.25">
      <c r="A24" s="2" t="s">
        <v>15</v>
      </c>
      <c r="C24" s="25"/>
      <c r="D24" s="25"/>
      <c r="F24" s="25"/>
      <c r="G24" s="25"/>
      <c r="H24" s="25"/>
    </row>
    <row r="25" spans="1:8" x14ac:dyDescent="0.25">
      <c r="B25" t="s">
        <v>16</v>
      </c>
      <c r="C25" s="25"/>
      <c r="D25" s="25">
        <v>46050</v>
      </c>
      <c r="F25" s="25"/>
      <c r="G25" s="25">
        <v>44848</v>
      </c>
      <c r="H25" s="25"/>
    </row>
    <row r="26" spans="1:8" x14ac:dyDescent="0.25">
      <c r="B26" t="s">
        <v>17</v>
      </c>
      <c r="C26" s="25"/>
      <c r="D26" s="28">
        <f>-1854+867+10</f>
        <v>-977</v>
      </c>
      <c r="F26" s="25"/>
      <c r="G26" s="28">
        <f>1857+199-400-454</f>
        <v>1202</v>
      </c>
      <c r="H26" s="25"/>
    </row>
    <row r="27" spans="1:8" x14ac:dyDescent="0.25">
      <c r="C27" s="25"/>
      <c r="D27" s="25">
        <f>SUM(D25:D26)</f>
        <v>45073</v>
      </c>
      <c r="F27" s="25"/>
      <c r="G27" s="25">
        <f>SUM(G25:G26)</f>
        <v>46050</v>
      </c>
      <c r="H27" s="25"/>
    </row>
    <row r="28" spans="1:8" x14ac:dyDescent="0.25">
      <c r="C28" s="25"/>
      <c r="D28" s="25"/>
      <c r="F28" s="25"/>
      <c r="G28" s="25"/>
      <c r="H28" s="25"/>
    </row>
    <row r="29" spans="1:8" x14ac:dyDescent="0.25">
      <c r="A29" s="2" t="s">
        <v>18</v>
      </c>
      <c r="B29" s="2"/>
      <c r="C29" s="29"/>
      <c r="D29" s="29"/>
      <c r="E29" s="2"/>
      <c r="F29" s="29"/>
      <c r="G29" s="29"/>
      <c r="H29" s="29"/>
    </row>
    <row r="30" spans="1:8" x14ac:dyDescent="0.25">
      <c r="B30" t="s">
        <v>150</v>
      </c>
      <c r="C30" s="25">
        <v>0</v>
      </c>
      <c r="D30" s="25"/>
      <c r="F30" s="25">
        <v>777</v>
      </c>
      <c r="G30" s="25"/>
      <c r="H30" s="27"/>
    </row>
    <row r="31" spans="1:8" x14ac:dyDescent="0.25">
      <c r="B31" t="s">
        <v>146</v>
      </c>
      <c r="C31" s="25">
        <v>2064</v>
      </c>
      <c r="D31" s="25"/>
      <c r="F31" s="25">
        <f>1210+400+454</f>
        <v>2064</v>
      </c>
      <c r="G31" s="25"/>
      <c r="H31" s="27"/>
    </row>
    <row r="32" spans="1:8" x14ac:dyDescent="0.25">
      <c r="B32" t="s">
        <v>23</v>
      </c>
      <c r="C32" s="25">
        <v>1000</v>
      </c>
      <c r="D32" s="25"/>
      <c r="F32" s="25">
        <v>1500</v>
      </c>
      <c r="G32" s="25"/>
      <c r="H32" s="27"/>
    </row>
    <row r="33" spans="2:8" x14ac:dyDescent="0.25">
      <c r="B33" t="s">
        <v>24</v>
      </c>
      <c r="C33" s="25">
        <v>123</v>
      </c>
      <c r="D33" s="25"/>
      <c r="F33" s="25">
        <v>96</v>
      </c>
      <c r="G33" s="25"/>
      <c r="H33" s="27"/>
    </row>
    <row r="34" spans="2:8" x14ac:dyDescent="0.25">
      <c r="B34" t="s">
        <v>123</v>
      </c>
      <c r="C34" s="28">
        <v>0</v>
      </c>
      <c r="F34" s="28">
        <v>39</v>
      </c>
    </row>
    <row r="35" spans="2:8" x14ac:dyDescent="0.25">
      <c r="C35" s="25"/>
      <c r="D35" s="25">
        <f>SUM(C30:C34)</f>
        <v>3187</v>
      </c>
      <c r="F35" s="25"/>
      <c r="G35" s="25">
        <f>SUM(F30:F34)</f>
        <v>4476</v>
      </c>
      <c r="H35" s="25"/>
    </row>
    <row r="36" spans="2:8" ht="15.75" thickBot="1" x14ac:dyDescent="0.3">
      <c r="C36" s="25"/>
      <c r="D36" s="30">
        <f>SUM(D27:D35)</f>
        <v>48260</v>
      </c>
      <c r="F36" s="25"/>
      <c r="G36" s="30">
        <f>SUM(G27:G35)</f>
        <v>50526</v>
      </c>
      <c r="H36" s="25"/>
    </row>
    <row r="37" spans="2:8" ht="15.75" thickTop="1" x14ac:dyDescent="0.25">
      <c r="F37" s="25"/>
      <c r="G37" s="25"/>
      <c r="H37" s="25"/>
    </row>
    <row r="38" spans="2:8" x14ac:dyDescent="0.25">
      <c r="F38" s="25"/>
      <c r="G38" s="25"/>
      <c r="H38" s="25"/>
    </row>
  </sheetData>
  <pageMargins left="0.7" right="0.7" top="0.75" bottom="0.75" header="0.3" footer="0.3"/>
  <pageSetup paperSize="9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2FB4-99BF-46DF-8626-F8B0D0E75A32}">
  <sheetPr>
    <pageSetUpPr fitToPage="1"/>
  </sheetPr>
  <dimension ref="B1:N104"/>
  <sheetViews>
    <sheetView topLeftCell="B1" workbookViewId="0">
      <selection activeCell="B1" sqref="A1:XFD1048576"/>
    </sheetView>
  </sheetViews>
  <sheetFormatPr defaultRowHeight="15" x14ac:dyDescent="0.25"/>
  <cols>
    <col min="2" max="2" width="1.5703125" customWidth="1"/>
    <col min="5" max="5" width="24.28515625" customWidth="1"/>
    <col min="6" max="6" width="13.140625" customWidth="1"/>
    <col min="7" max="7" width="9.28515625" bestFit="1" customWidth="1"/>
    <col min="8" max="9" width="11.5703125" customWidth="1"/>
    <col min="10" max="10" width="4.42578125" style="21" customWidth="1"/>
    <col min="11" max="11" width="10.5703125" customWidth="1"/>
    <col min="12" max="12" width="10.5703125" bestFit="1" customWidth="1"/>
    <col min="13" max="13" width="3" customWidth="1"/>
    <col min="14" max="14" width="13.140625" customWidth="1"/>
  </cols>
  <sheetData>
    <row r="1" spans="2:14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 s="39" t="s">
        <v>63</v>
      </c>
    </row>
    <row r="2" spans="2:14" x14ac:dyDescent="0.25">
      <c r="F2" s="1">
        <v>43831</v>
      </c>
      <c r="G2" s="5"/>
      <c r="H2" s="5"/>
      <c r="I2" s="5"/>
      <c r="J2" s="22"/>
      <c r="K2" s="5" t="s">
        <v>66</v>
      </c>
      <c r="L2" s="38" t="s">
        <v>175</v>
      </c>
      <c r="N2" s="40" t="s">
        <v>176</v>
      </c>
    </row>
    <row r="3" spans="2:14" x14ac:dyDescent="0.25">
      <c r="B3" s="2" t="s">
        <v>12</v>
      </c>
      <c r="M3" s="14" t="s">
        <v>68</v>
      </c>
    </row>
    <row r="4" spans="2:14" x14ac:dyDescent="0.25">
      <c r="C4" t="s">
        <v>13</v>
      </c>
      <c r="F4" s="4" t="s">
        <v>65</v>
      </c>
      <c r="G4" s="4"/>
      <c r="H4" s="4"/>
      <c r="I4" s="4"/>
      <c r="J4" s="23"/>
      <c r="K4" s="4"/>
      <c r="L4" s="4" t="s">
        <v>65</v>
      </c>
      <c r="M4" s="14" t="s">
        <v>68</v>
      </c>
      <c r="N4" s="4" t="s">
        <v>65</v>
      </c>
    </row>
    <row r="5" spans="2:14" x14ac:dyDescent="0.25">
      <c r="B5" s="2" t="s">
        <v>3</v>
      </c>
      <c r="F5" s="11"/>
      <c r="G5" s="11"/>
      <c r="H5" s="11"/>
      <c r="I5" s="11"/>
      <c r="K5" s="11"/>
      <c r="L5" s="11"/>
      <c r="M5" s="13" t="s">
        <v>68</v>
      </c>
      <c r="N5" s="11"/>
    </row>
    <row r="6" spans="2:14" x14ac:dyDescent="0.25">
      <c r="C6" t="s">
        <v>21</v>
      </c>
      <c r="F6" s="11"/>
      <c r="G6" s="11"/>
      <c r="H6" s="11"/>
      <c r="I6" s="11"/>
      <c r="K6" s="11"/>
      <c r="L6" s="11"/>
      <c r="M6" s="13" t="s">
        <v>68</v>
      </c>
      <c r="N6" s="11">
        <v>0</v>
      </c>
    </row>
    <row r="7" spans="2:14" x14ac:dyDescent="0.25">
      <c r="C7" s="6" t="s">
        <v>19</v>
      </c>
      <c r="F7" s="11">
        <v>53.940000000000055</v>
      </c>
      <c r="G7" s="11"/>
      <c r="H7" s="11"/>
      <c r="I7" s="11"/>
      <c r="J7" s="21">
        <v>1</v>
      </c>
      <c r="K7" s="11">
        <f>37-53.94</f>
        <v>-16.939999999999998</v>
      </c>
      <c r="L7" s="11">
        <f>SUM(F7+G7+H7+I7+K7)</f>
        <v>37.000000000000057</v>
      </c>
      <c r="M7" s="13" t="s">
        <v>68</v>
      </c>
      <c r="N7" s="11">
        <v>53.940000000000055</v>
      </c>
    </row>
    <row r="8" spans="2:14" x14ac:dyDescent="0.25">
      <c r="C8" s="6" t="s">
        <v>20</v>
      </c>
      <c r="F8" s="11">
        <v>1818.18</v>
      </c>
      <c r="G8" s="11"/>
      <c r="H8" s="11"/>
      <c r="I8" s="11"/>
      <c r="J8" s="21">
        <v>10</v>
      </c>
      <c r="K8" s="11">
        <v>-668.18</v>
      </c>
      <c r="L8" s="11">
        <f>SUM(F8+G8+H8+I8+K8)</f>
        <v>1150</v>
      </c>
      <c r="M8" s="13" t="s">
        <v>68</v>
      </c>
      <c r="N8" s="11">
        <v>1818.18</v>
      </c>
    </row>
    <row r="9" spans="2:14" x14ac:dyDescent="0.25">
      <c r="C9" s="6" t="s">
        <v>111</v>
      </c>
      <c r="F9" s="11">
        <v>375</v>
      </c>
      <c r="G9" s="11"/>
      <c r="H9" s="11"/>
      <c r="I9" s="11"/>
      <c r="J9" s="21">
        <v>2</v>
      </c>
      <c r="K9" s="11">
        <v>-375</v>
      </c>
      <c r="L9" s="11">
        <f t="shared" ref="L9:L29" si="0">SUM(F9+G9+H9+I9+K9)</f>
        <v>0</v>
      </c>
      <c r="M9" s="13" t="s">
        <v>68</v>
      </c>
      <c r="N9" s="11">
        <v>375</v>
      </c>
    </row>
    <row r="10" spans="2:14" x14ac:dyDescent="0.25">
      <c r="C10" s="6" t="s">
        <v>132</v>
      </c>
      <c r="F10" s="11">
        <v>199</v>
      </c>
      <c r="G10" s="11"/>
      <c r="H10" s="11"/>
      <c r="I10" s="11"/>
      <c r="J10" s="21">
        <v>2</v>
      </c>
      <c r="K10" s="11">
        <v>-199</v>
      </c>
      <c r="L10" s="11">
        <f t="shared" si="0"/>
        <v>0</v>
      </c>
      <c r="M10" s="13" t="s">
        <v>68</v>
      </c>
      <c r="N10" s="11">
        <v>199</v>
      </c>
    </row>
    <row r="11" spans="2:14" x14ac:dyDescent="0.25">
      <c r="C11" t="s">
        <v>155</v>
      </c>
      <c r="F11" s="11"/>
      <c r="G11" s="11"/>
      <c r="H11" s="11"/>
      <c r="I11" s="11">
        <v>989.14</v>
      </c>
      <c r="K11" s="11"/>
      <c r="L11" s="11">
        <f>SUM(F11+G11+H11+I11+K11)</f>
        <v>989.14</v>
      </c>
      <c r="M11" s="13" t="s">
        <v>68</v>
      </c>
      <c r="N11" s="11">
        <v>0</v>
      </c>
    </row>
    <row r="12" spans="2:14" x14ac:dyDescent="0.25">
      <c r="C12" s="6" t="s">
        <v>140</v>
      </c>
      <c r="F12" s="11"/>
      <c r="G12" s="11"/>
      <c r="H12" s="11"/>
      <c r="I12" s="11"/>
      <c r="J12" s="21">
        <v>7</v>
      </c>
      <c r="K12" s="11">
        <v>300</v>
      </c>
      <c r="L12" s="11">
        <f t="shared" si="0"/>
        <v>300</v>
      </c>
      <c r="M12" s="13" t="s">
        <v>68</v>
      </c>
      <c r="N12" s="11"/>
    </row>
    <row r="13" spans="2:14" x14ac:dyDescent="0.25">
      <c r="B13" s="2" t="s">
        <v>5</v>
      </c>
      <c r="C13" s="2"/>
      <c r="F13" s="11"/>
      <c r="G13" s="11"/>
      <c r="H13" s="11"/>
      <c r="I13" s="11"/>
      <c r="K13" s="11"/>
      <c r="L13" s="11"/>
      <c r="M13" s="13" t="s">
        <v>68</v>
      </c>
      <c r="N13" s="11"/>
    </row>
    <row r="14" spans="2:14" x14ac:dyDescent="0.25">
      <c r="C14" t="s">
        <v>6</v>
      </c>
      <c r="F14" s="11">
        <v>207.01999999999998</v>
      </c>
      <c r="G14" s="11"/>
      <c r="H14" s="11">
        <f>-207.02+100.23</f>
        <v>-106.79</v>
      </c>
      <c r="I14" s="11"/>
      <c r="K14" s="11"/>
      <c r="L14" s="11">
        <f t="shared" si="0"/>
        <v>100.22999999999998</v>
      </c>
      <c r="M14" s="13" t="s">
        <v>68</v>
      </c>
      <c r="N14" s="11">
        <v>207.01999999999998</v>
      </c>
    </row>
    <row r="15" spans="2:14" x14ac:dyDescent="0.25">
      <c r="C15" t="s">
        <v>7</v>
      </c>
      <c r="F15" s="11">
        <v>45000.000000000007</v>
      </c>
      <c r="G15" s="11"/>
      <c r="H15" s="11"/>
      <c r="I15" s="11">
        <v>4.3499999999999996</v>
      </c>
      <c r="K15" s="11"/>
      <c r="L15" s="11">
        <f t="shared" si="0"/>
        <v>45004.350000000006</v>
      </c>
      <c r="M15" s="13" t="s">
        <v>68</v>
      </c>
      <c r="N15" s="11">
        <v>45000.000000000007</v>
      </c>
    </row>
    <row r="16" spans="2:14" x14ac:dyDescent="0.25">
      <c r="C16" t="s">
        <v>77</v>
      </c>
      <c r="F16" s="11">
        <v>2738.01</v>
      </c>
      <c r="G16" s="11"/>
      <c r="H16" s="11"/>
      <c r="I16" s="11">
        <f>-2738.01+532.77</f>
        <v>-2205.2400000000002</v>
      </c>
      <c r="K16" s="11"/>
      <c r="L16" s="11">
        <f t="shared" si="0"/>
        <v>532.77</v>
      </c>
      <c r="M16" s="13" t="s">
        <v>68</v>
      </c>
      <c r="N16" s="11">
        <v>2738.01</v>
      </c>
    </row>
    <row r="17" spans="2:14" x14ac:dyDescent="0.25">
      <c r="C17" t="s">
        <v>8</v>
      </c>
      <c r="F17" s="11">
        <v>134.85</v>
      </c>
      <c r="G17" s="11">
        <f>-134.85+147.3</f>
        <v>12.450000000000017</v>
      </c>
      <c r="H17" s="11"/>
      <c r="I17" s="11"/>
      <c r="K17" s="11"/>
      <c r="L17" s="11">
        <f t="shared" si="0"/>
        <v>147.30000000000001</v>
      </c>
      <c r="M17" s="13" t="s">
        <v>68</v>
      </c>
      <c r="N17" s="11">
        <v>134.85</v>
      </c>
    </row>
    <row r="18" spans="2:14" x14ac:dyDescent="0.25">
      <c r="C18" t="s">
        <v>74</v>
      </c>
      <c r="F18" s="11">
        <v>0</v>
      </c>
      <c r="G18" s="11">
        <v>610</v>
      </c>
      <c r="H18" s="11">
        <v>11500</v>
      </c>
      <c r="I18" s="11">
        <v>-12110</v>
      </c>
      <c r="J18" s="21" t="s">
        <v>64</v>
      </c>
      <c r="K18" s="11"/>
      <c r="L18" s="11">
        <f t="shared" si="0"/>
        <v>0</v>
      </c>
      <c r="M18" s="13" t="s">
        <v>68</v>
      </c>
      <c r="N18" s="11">
        <v>0</v>
      </c>
    </row>
    <row r="19" spans="2:14" x14ac:dyDescent="0.25">
      <c r="B19" s="2" t="s">
        <v>15</v>
      </c>
      <c r="F19" s="11"/>
      <c r="G19" s="11"/>
      <c r="H19" s="11"/>
      <c r="I19" s="11"/>
      <c r="K19" s="11"/>
      <c r="L19" s="11"/>
      <c r="M19" s="13" t="s">
        <v>68</v>
      </c>
      <c r="N19" s="11"/>
    </row>
    <row r="20" spans="2:14" x14ac:dyDescent="0.25">
      <c r="C20" t="s">
        <v>16</v>
      </c>
      <c r="F20" s="11">
        <v>-44847.81</v>
      </c>
      <c r="G20" s="11"/>
      <c r="H20" s="11"/>
      <c r="I20" s="11"/>
      <c r="J20" s="21">
        <v>9</v>
      </c>
      <c r="K20" s="11">
        <f>-2056.38+854</f>
        <v>-1202.3800000000001</v>
      </c>
      <c r="L20" s="11">
        <f t="shared" si="0"/>
        <v>-46050.189999999995</v>
      </c>
      <c r="M20" s="13" t="s">
        <v>68</v>
      </c>
      <c r="N20" s="11">
        <v>-44847.81</v>
      </c>
    </row>
    <row r="21" spans="2:14" x14ac:dyDescent="0.25">
      <c r="C21" t="s">
        <v>137</v>
      </c>
      <c r="F21" s="11">
        <v>-2056.38</v>
      </c>
      <c r="G21" s="11"/>
      <c r="H21" s="11"/>
      <c r="I21" s="11"/>
      <c r="J21" s="21">
        <v>9</v>
      </c>
      <c r="K21" s="11">
        <v>2056.38</v>
      </c>
      <c r="L21" s="11">
        <f t="shared" si="0"/>
        <v>0</v>
      </c>
      <c r="M21" s="13" t="s">
        <v>68</v>
      </c>
      <c r="N21" s="11"/>
    </row>
    <row r="22" spans="2:14" x14ac:dyDescent="0.25">
      <c r="B22" s="2" t="s">
        <v>18</v>
      </c>
      <c r="C22" s="2"/>
      <c r="F22" s="11"/>
      <c r="G22" s="11"/>
      <c r="H22" s="11"/>
      <c r="I22" s="11"/>
      <c r="K22" s="11"/>
      <c r="L22" s="11"/>
      <c r="M22" s="13" t="s">
        <v>68</v>
      </c>
      <c r="N22" s="11"/>
    </row>
    <row r="23" spans="2:14" x14ac:dyDescent="0.25">
      <c r="C23" t="s">
        <v>22</v>
      </c>
      <c r="F23" s="11"/>
      <c r="G23" s="11"/>
      <c r="H23" s="11"/>
      <c r="I23" s="11"/>
      <c r="K23" s="11"/>
      <c r="L23" s="11"/>
      <c r="M23" s="13" t="s">
        <v>68</v>
      </c>
      <c r="N23" s="11">
        <v>0</v>
      </c>
    </row>
    <row r="24" spans="2:14" x14ac:dyDescent="0.25">
      <c r="C24" s="6" t="s">
        <v>118</v>
      </c>
      <c r="F24" s="11">
        <v>-1500</v>
      </c>
      <c r="G24" s="11"/>
      <c r="H24" s="11"/>
      <c r="I24" s="11"/>
      <c r="J24" s="21">
        <v>4</v>
      </c>
      <c r="K24" s="11">
        <v>500</v>
      </c>
      <c r="L24" s="11">
        <f t="shared" si="0"/>
        <v>-1000</v>
      </c>
      <c r="M24" s="13" t="s">
        <v>68</v>
      </c>
      <c r="N24" s="11">
        <v>-1500</v>
      </c>
    </row>
    <row r="25" spans="2:14" x14ac:dyDescent="0.25">
      <c r="C25" s="6" t="s">
        <v>112</v>
      </c>
      <c r="F25" s="11">
        <v>-96</v>
      </c>
      <c r="G25" s="11"/>
      <c r="H25" s="11"/>
      <c r="I25" s="11"/>
      <c r="J25" s="21">
        <v>5</v>
      </c>
      <c r="K25" s="11">
        <v>96</v>
      </c>
      <c r="L25" s="11">
        <f t="shared" si="0"/>
        <v>0</v>
      </c>
      <c r="M25" s="13" t="s">
        <v>68</v>
      </c>
      <c r="N25" s="11">
        <v>-96</v>
      </c>
    </row>
    <row r="26" spans="2:14" x14ac:dyDescent="0.25">
      <c r="C26" s="6" t="s">
        <v>138</v>
      </c>
      <c r="F26" s="11"/>
      <c r="G26" s="11">
        <v>-14</v>
      </c>
      <c r="H26" s="11">
        <v>-109</v>
      </c>
      <c r="I26" s="11"/>
      <c r="K26" s="11"/>
      <c r="L26" s="11">
        <f t="shared" si="0"/>
        <v>-123</v>
      </c>
      <c r="M26" s="13" t="s">
        <v>68</v>
      </c>
      <c r="N26" s="11"/>
    </row>
    <row r="27" spans="2:14" x14ac:dyDescent="0.25">
      <c r="C27" s="6" t="s">
        <v>25</v>
      </c>
      <c r="E27" t="s">
        <v>94</v>
      </c>
      <c r="F27" s="11">
        <v>-776.4799999999999</v>
      </c>
      <c r="G27" s="11"/>
      <c r="H27" s="11"/>
      <c r="I27" s="11"/>
      <c r="J27" s="21">
        <v>3</v>
      </c>
      <c r="K27" s="11">
        <v>776.48</v>
      </c>
      <c r="L27" s="11">
        <f t="shared" si="0"/>
        <v>1.1368683772161603E-13</v>
      </c>
      <c r="M27" s="13" t="s">
        <v>68</v>
      </c>
      <c r="N27" s="11">
        <v>-776.4799999999999</v>
      </c>
    </row>
    <row r="28" spans="2:14" x14ac:dyDescent="0.25">
      <c r="C28" s="6" t="s">
        <v>113</v>
      </c>
      <c r="F28" s="11">
        <v>-1210.53</v>
      </c>
      <c r="G28" s="11"/>
      <c r="H28" s="11"/>
      <c r="I28" s="11"/>
      <c r="J28" s="21">
        <v>9</v>
      </c>
      <c r="K28" s="11">
        <f>-400-454</f>
        <v>-854</v>
      </c>
      <c r="L28" s="11">
        <f t="shared" si="0"/>
        <v>-2064.5299999999997</v>
      </c>
      <c r="M28" s="13" t="s">
        <v>68</v>
      </c>
      <c r="N28" s="11">
        <v>-1210.53</v>
      </c>
    </row>
    <row r="29" spans="2:14" x14ac:dyDescent="0.25">
      <c r="C29" s="6" t="s">
        <v>71</v>
      </c>
      <c r="F29" s="19">
        <v>-38.799999999999997</v>
      </c>
      <c r="G29" s="19"/>
      <c r="H29" s="19"/>
      <c r="I29" s="19">
        <v>32.85</v>
      </c>
      <c r="J29" s="22">
        <v>6</v>
      </c>
      <c r="K29" s="19">
        <v>5.95</v>
      </c>
      <c r="L29" s="11">
        <f t="shared" si="0"/>
        <v>4.4408920985006262E-15</v>
      </c>
      <c r="M29" s="13" t="s">
        <v>68</v>
      </c>
      <c r="N29" s="11">
        <v>-38.799999999999997</v>
      </c>
    </row>
    <row r="30" spans="2:14" ht="15.75" thickBot="1" x14ac:dyDescent="0.3">
      <c r="E30" t="s">
        <v>108</v>
      </c>
      <c r="F30" s="11">
        <f>SUM(F4:F29)</f>
        <v>9.5070618044701405E-12</v>
      </c>
      <c r="G30" s="11">
        <f>SUM(G4:G29)</f>
        <v>608.45000000000005</v>
      </c>
      <c r="H30" s="11">
        <f>SUM(H4:H29)</f>
        <v>11284.21</v>
      </c>
      <c r="I30" s="11">
        <f>SUM(I4:I29)</f>
        <v>-13288.9</v>
      </c>
      <c r="K30" s="11">
        <f>SUM(K4:K29)</f>
        <v>419.31000000000012</v>
      </c>
      <c r="L30" s="12">
        <f>SUM(L3:L29)</f>
        <v>-976.92999999998665</v>
      </c>
      <c r="M30" s="11"/>
      <c r="N30" s="12">
        <v>2056.3800000000092</v>
      </c>
    </row>
    <row r="31" spans="2:14" ht="15.75" thickTop="1" x14ac:dyDescent="0.25">
      <c r="F31" s="11"/>
      <c r="G31" s="11"/>
      <c r="H31" s="11"/>
      <c r="I31" s="11"/>
      <c r="K31" s="11"/>
      <c r="L31" s="11"/>
      <c r="M31" s="11"/>
      <c r="N31" s="11"/>
    </row>
    <row r="32" spans="2:14" x14ac:dyDescent="0.25">
      <c r="F32" s="11"/>
      <c r="G32" s="11"/>
      <c r="H32" s="11"/>
      <c r="I32" s="11"/>
      <c r="K32" s="11"/>
      <c r="L32" s="11"/>
      <c r="M32" s="11"/>
      <c r="N32" s="11"/>
    </row>
    <row r="33" spans="2:14" x14ac:dyDescent="0.25">
      <c r="F33" s="11"/>
      <c r="G33" s="11"/>
      <c r="H33" s="11"/>
      <c r="I33" s="11"/>
      <c r="K33" s="11"/>
      <c r="L33" s="11"/>
      <c r="M33" s="11"/>
      <c r="N33" s="11"/>
    </row>
    <row r="34" spans="2:14" x14ac:dyDescent="0.25">
      <c r="F34" s="11"/>
      <c r="G34" s="11"/>
      <c r="H34" s="11"/>
      <c r="I34" s="11"/>
      <c r="K34" s="11"/>
      <c r="L34" s="11"/>
      <c r="M34" s="11"/>
      <c r="N34" s="11"/>
    </row>
    <row r="35" spans="2:14" x14ac:dyDescent="0.25">
      <c r="F35" s="11"/>
      <c r="G35" s="11"/>
      <c r="H35" s="11"/>
      <c r="I35" s="11"/>
      <c r="K35" s="11"/>
      <c r="L35" s="11"/>
      <c r="M35" s="11"/>
      <c r="N35" s="11"/>
    </row>
    <row r="36" spans="2:14" x14ac:dyDescent="0.25">
      <c r="F36" s="11"/>
      <c r="G36" s="11"/>
      <c r="H36" s="11"/>
      <c r="I36" s="11"/>
      <c r="K36" s="11"/>
      <c r="L36" s="11"/>
      <c r="M36" s="11"/>
      <c r="N36" s="11"/>
    </row>
    <row r="37" spans="2:14" x14ac:dyDescent="0.25">
      <c r="F37" s="11"/>
      <c r="G37" s="11"/>
      <c r="H37" s="11"/>
      <c r="I37" s="11"/>
      <c r="K37" s="11"/>
      <c r="L37" s="11"/>
      <c r="M37" s="11"/>
      <c r="N37" s="11"/>
    </row>
    <row r="38" spans="2:14" x14ac:dyDescent="0.25">
      <c r="F38" t="s">
        <v>62</v>
      </c>
      <c r="G38" t="s">
        <v>67</v>
      </c>
      <c r="H38" t="s">
        <v>75</v>
      </c>
      <c r="I38" t="s">
        <v>76</v>
      </c>
      <c r="L38" t="s">
        <v>63</v>
      </c>
      <c r="N38" s="39" t="s">
        <v>63</v>
      </c>
    </row>
    <row r="39" spans="2:14" x14ac:dyDescent="0.25">
      <c r="F39" s="1">
        <v>43831</v>
      </c>
      <c r="G39" s="5"/>
      <c r="H39" s="5"/>
      <c r="I39" s="5"/>
      <c r="J39" s="22"/>
      <c r="K39" s="5" t="s">
        <v>66</v>
      </c>
      <c r="L39" s="38" t="s">
        <v>175</v>
      </c>
      <c r="N39" s="40" t="s">
        <v>176</v>
      </c>
    </row>
    <row r="40" spans="2:14" x14ac:dyDescent="0.25">
      <c r="E40" t="s">
        <v>107</v>
      </c>
      <c r="F40" s="11">
        <f>SUM(F30)</f>
        <v>9.5070618044701405E-12</v>
      </c>
      <c r="G40" s="11">
        <f>SUM(G30)</f>
        <v>608.45000000000005</v>
      </c>
      <c r="H40" s="11">
        <f>SUM(H30)</f>
        <v>11284.21</v>
      </c>
      <c r="I40" s="11">
        <f>SUM(I30)</f>
        <v>-13288.9</v>
      </c>
      <c r="K40" s="11">
        <f>SUM(K30)</f>
        <v>419.31000000000012</v>
      </c>
      <c r="L40" s="11">
        <f>SUM(L30)</f>
        <v>-976.92999999998665</v>
      </c>
      <c r="M40" s="13" t="s">
        <v>68</v>
      </c>
      <c r="N40" s="11">
        <v>2056.3800000000092</v>
      </c>
    </row>
    <row r="41" spans="2:14" ht="15.75" x14ac:dyDescent="0.25">
      <c r="B41" s="9" t="s">
        <v>27</v>
      </c>
      <c r="F41" s="11"/>
      <c r="G41" s="11"/>
      <c r="H41" s="11"/>
      <c r="I41" s="11"/>
      <c r="K41" s="11"/>
      <c r="L41" s="11"/>
      <c r="M41" s="13" t="s">
        <v>68</v>
      </c>
      <c r="N41" s="11"/>
    </row>
    <row r="42" spans="2:14" x14ac:dyDescent="0.25">
      <c r="B42" t="s">
        <v>28</v>
      </c>
      <c r="F42" s="11"/>
      <c r="G42" s="11">
        <f>-137+14</f>
        <v>-123</v>
      </c>
      <c r="H42" s="11">
        <v>-11464</v>
      </c>
      <c r="I42" s="11">
        <v>-70</v>
      </c>
      <c r="K42" s="11">
        <v>-96</v>
      </c>
      <c r="L42" s="11">
        <f t="shared" ref="L42:L59" si="1">SUM(F42+G42+H42+I42+K42)</f>
        <v>-11753</v>
      </c>
      <c r="M42" s="13" t="s">
        <v>68</v>
      </c>
      <c r="N42" s="11">
        <v>-12019.5</v>
      </c>
    </row>
    <row r="43" spans="2:14" x14ac:dyDescent="0.25">
      <c r="B43" t="s">
        <v>29</v>
      </c>
      <c r="C43" t="s">
        <v>69</v>
      </c>
      <c r="F43" s="11"/>
      <c r="G43" s="11">
        <v>-387.05</v>
      </c>
      <c r="H43" s="11"/>
      <c r="I43" s="11">
        <f>-243.39-32.85</f>
        <v>-276.24</v>
      </c>
      <c r="K43" s="11"/>
      <c r="L43" s="11">
        <f t="shared" si="1"/>
        <v>-663.29</v>
      </c>
      <c r="M43" s="13" t="s">
        <v>68</v>
      </c>
      <c r="N43" s="11">
        <v>-818.35</v>
      </c>
    </row>
    <row r="44" spans="2:14" x14ac:dyDescent="0.25">
      <c r="C44" t="s">
        <v>141</v>
      </c>
      <c r="F44" s="11"/>
      <c r="G44" s="11"/>
      <c r="H44" s="11">
        <v>-10</v>
      </c>
      <c r="I44" s="11"/>
      <c r="K44" s="11"/>
      <c r="L44" s="11">
        <f>SUM(F44+G44+H44+I44+K44)</f>
        <v>-10</v>
      </c>
      <c r="M44" s="13" t="s">
        <v>68</v>
      </c>
      <c r="N44" s="11"/>
    </row>
    <row r="45" spans="2:14" x14ac:dyDescent="0.25">
      <c r="B45" t="s">
        <v>30</v>
      </c>
      <c r="F45" s="11"/>
      <c r="G45" s="11"/>
      <c r="H45" s="11"/>
      <c r="I45" s="11">
        <v>-1875</v>
      </c>
      <c r="J45" s="21">
        <v>2</v>
      </c>
      <c r="K45" s="11">
        <v>375</v>
      </c>
      <c r="L45" s="11">
        <f t="shared" si="1"/>
        <v>-1500</v>
      </c>
      <c r="M45" s="13" t="s">
        <v>68</v>
      </c>
      <c r="N45" s="11">
        <v>-1500</v>
      </c>
    </row>
    <row r="46" spans="2:14" x14ac:dyDescent="0.25">
      <c r="B46" t="s">
        <v>31</v>
      </c>
      <c r="F46" s="11"/>
      <c r="G46" s="11"/>
      <c r="H46" s="11"/>
      <c r="I46" s="11">
        <v>0</v>
      </c>
      <c r="J46" s="21">
        <v>7</v>
      </c>
      <c r="K46" s="11">
        <v>-300</v>
      </c>
      <c r="L46" s="11">
        <f t="shared" si="1"/>
        <v>-300</v>
      </c>
      <c r="M46" s="13" t="s">
        <v>68</v>
      </c>
      <c r="N46" s="11">
        <v>-450</v>
      </c>
    </row>
    <row r="47" spans="2:14" x14ac:dyDescent="0.25">
      <c r="B47" t="s">
        <v>81</v>
      </c>
      <c r="F47" s="11"/>
      <c r="G47" s="11"/>
      <c r="H47" s="11"/>
      <c r="I47" s="11">
        <v>0</v>
      </c>
      <c r="K47" s="11"/>
      <c r="L47" s="11">
        <f t="shared" si="1"/>
        <v>0</v>
      </c>
      <c r="M47" s="13" t="s">
        <v>68</v>
      </c>
      <c r="N47" s="11">
        <v>-454.27</v>
      </c>
    </row>
    <row r="48" spans="2:14" x14ac:dyDescent="0.25">
      <c r="B48" t="s">
        <v>119</v>
      </c>
      <c r="F48" s="11"/>
      <c r="G48" s="11">
        <v>-22.4</v>
      </c>
      <c r="H48" s="11"/>
      <c r="I48" s="11">
        <v>-48.9</v>
      </c>
      <c r="J48" s="21">
        <v>6</v>
      </c>
      <c r="K48" s="11">
        <v>-5.95</v>
      </c>
      <c r="L48" s="11">
        <f t="shared" si="1"/>
        <v>-77.25</v>
      </c>
      <c r="M48" s="13" t="s">
        <v>68</v>
      </c>
      <c r="N48" s="11">
        <v>-373.65000000000003</v>
      </c>
    </row>
    <row r="49" spans="2:14" x14ac:dyDescent="0.25">
      <c r="B49" t="s">
        <v>115</v>
      </c>
      <c r="F49" s="11"/>
      <c r="G49" s="11"/>
      <c r="H49" s="11"/>
      <c r="I49" s="11">
        <v>0</v>
      </c>
      <c r="K49" s="11"/>
      <c r="L49" s="11">
        <f t="shared" si="1"/>
        <v>0</v>
      </c>
      <c r="M49" s="13" t="s">
        <v>68</v>
      </c>
      <c r="N49" s="11">
        <v>-400</v>
      </c>
    </row>
    <row r="50" spans="2:14" x14ac:dyDescent="0.25">
      <c r="B50" t="s">
        <v>84</v>
      </c>
      <c r="F50" s="11"/>
      <c r="G50" s="11"/>
      <c r="H50" s="11"/>
      <c r="I50" s="11">
        <v>-175</v>
      </c>
      <c r="K50" s="11"/>
      <c r="L50" s="11">
        <f t="shared" si="1"/>
        <v>-175</v>
      </c>
      <c r="M50" s="13" t="s">
        <v>68</v>
      </c>
      <c r="N50" s="11">
        <v>-180</v>
      </c>
    </row>
    <row r="51" spans="2:14" x14ac:dyDescent="0.25">
      <c r="B51" t="s">
        <v>158</v>
      </c>
      <c r="F51" s="11"/>
      <c r="G51" s="11"/>
      <c r="H51" s="11"/>
      <c r="I51" s="11">
        <v>-866.72</v>
      </c>
      <c r="K51" s="11"/>
      <c r="L51" s="11">
        <f t="shared" si="1"/>
        <v>-866.72</v>
      </c>
      <c r="M51" s="13" t="s">
        <v>68</v>
      </c>
      <c r="N51" s="11"/>
    </row>
    <row r="52" spans="2:14" x14ac:dyDescent="0.25">
      <c r="B52" t="s">
        <v>154</v>
      </c>
      <c r="F52" s="11"/>
      <c r="G52" s="11"/>
      <c r="H52" s="11"/>
      <c r="I52" s="11">
        <v>-347.78</v>
      </c>
      <c r="K52" s="11"/>
      <c r="L52" s="11">
        <f t="shared" si="1"/>
        <v>-347.78</v>
      </c>
      <c r="M52" s="13" t="s">
        <v>68</v>
      </c>
      <c r="N52" s="11"/>
    </row>
    <row r="53" spans="2:14" x14ac:dyDescent="0.25">
      <c r="B53" t="s">
        <v>85</v>
      </c>
      <c r="F53" s="11"/>
      <c r="G53" s="11">
        <v>-151</v>
      </c>
      <c r="H53" s="11"/>
      <c r="I53" s="11">
        <v>-14325</v>
      </c>
      <c r="K53" s="11"/>
      <c r="L53" s="11">
        <f t="shared" si="1"/>
        <v>-14476</v>
      </c>
      <c r="M53" s="13" t="s">
        <v>68</v>
      </c>
      <c r="N53" s="11">
        <v>-4225</v>
      </c>
    </row>
    <row r="54" spans="2:14" x14ac:dyDescent="0.25">
      <c r="B54" t="s">
        <v>157</v>
      </c>
      <c r="F54" s="11"/>
      <c r="G54" s="11"/>
      <c r="H54" s="11"/>
      <c r="I54" s="11">
        <f>-9.5+-1078.5</f>
        <v>-1088</v>
      </c>
      <c r="K54" s="11"/>
      <c r="L54" s="11">
        <f t="shared" si="1"/>
        <v>-1088</v>
      </c>
      <c r="M54" s="13" t="s">
        <v>68</v>
      </c>
      <c r="N54" s="11"/>
    </row>
    <row r="55" spans="2:14" x14ac:dyDescent="0.25">
      <c r="B55" t="s">
        <v>34</v>
      </c>
      <c r="F55" s="11"/>
      <c r="G55" s="11"/>
      <c r="H55" s="11"/>
      <c r="I55" s="11"/>
      <c r="K55" s="11"/>
      <c r="L55" s="11">
        <f t="shared" si="1"/>
        <v>0</v>
      </c>
      <c r="M55" s="13" t="s">
        <v>68</v>
      </c>
      <c r="N55" s="11">
        <v>-488.5</v>
      </c>
    </row>
    <row r="56" spans="2:14" x14ac:dyDescent="0.25">
      <c r="B56" t="s">
        <v>35</v>
      </c>
      <c r="F56" s="11"/>
      <c r="G56" s="11"/>
      <c r="H56" s="11"/>
      <c r="I56" s="11"/>
      <c r="K56" s="11"/>
      <c r="L56" s="11">
        <f t="shared" si="1"/>
        <v>0</v>
      </c>
      <c r="M56" s="13" t="s">
        <v>68</v>
      </c>
      <c r="N56" s="11">
        <v>-400</v>
      </c>
    </row>
    <row r="57" spans="2:14" x14ac:dyDescent="0.25">
      <c r="B57" t="s">
        <v>36</v>
      </c>
      <c r="F57" s="11"/>
      <c r="G57" s="11"/>
      <c r="H57" s="11"/>
      <c r="I57" s="11"/>
      <c r="J57" s="21">
        <v>4</v>
      </c>
      <c r="K57" s="11">
        <v>-500</v>
      </c>
      <c r="L57" s="11">
        <f t="shared" si="1"/>
        <v>-500</v>
      </c>
      <c r="M57" s="13" t="s">
        <v>68</v>
      </c>
      <c r="N57" s="11">
        <v>-500</v>
      </c>
    </row>
    <row r="58" spans="2:14" x14ac:dyDescent="0.25">
      <c r="B58" t="s">
        <v>37</v>
      </c>
      <c r="F58" s="11"/>
      <c r="G58" s="11"/>
      <c r="H58" s="11"/>
      <c r="I58" s="11"/>
      <c r="K58" s="11"/>
      <c r="L58" s="11">
        <f t="shared" si="1"/>
        <v>0</v>
      </c>
      <c r="M58" s="13" t="s">
        <v>68</v>
      </c>
      <c r="N58" s="11">
        <v>0</v>
      </c>
    </row>
    <row r="59" spans="2:14" x14ac:dyDescent="0.25">
      <c r="B59" t="s">
        <v>38</v>
      </c>
      <c r="F59" s="11"/>
      <c r="G59" s="11"/>
      <c r="H59" s="11"/>
      <c r="I59" s="11">
        <v>-4.3499999999999996</v>
      </c>
      <c r="K59" s="11"/>
      <c r="L59" s="11">
        <f t="shared" si="1"/>
        <v>-4.3499999999999996</v>
      </c>
      <c r="M59" s="13" t="s">
        <v>68</v>
      </c>
      <c r="N59" s="11">
        <v>-4.4400000000000004</v>
      </c>
    </row>
    <row r="60" spans="2:14" x14ac:dyDescent="0.25">
      <c r="F60" s="19"/>
      <c r="G60" s="19"/>
      <c r="H60" s="19"/>
      <c r="I60" s="19"/>
      <c r="J60" s="22"/>
      <c r="K60" s="19"/>
      <c r="L60" s="19"/>
      <c r="M60" s="20" t="s">
        <v>68</v>
      </c>
      <c r="N60" s="19"/>
    </row>
    <row r="61" spans="2:14" x14ac:dyDescent="0.25">
      <c r="E61" t="s">
        <v>106</v>
      </c>
      <c r="F61" s="11">
        <f>SUM(F40:F60)</f>
        <v>9.5070618044701405E-12</v>
      </c>
      <c r="G61" s="11">
        <f>SUM(G40:G60)</f>
        <v>-74.999999999999972</v>
      </c>
      <c r="H61" s="11">
        <f>SUM(H40:H60)</f>
        <v>-189.79000000000087</v>
      </c>
      <c r="I61" s="11">
        <f>SUM(I40:I60)</f>
        <v>-32365.889999999996</v>
      </c>
      <c r="K61" s="11">
        <f>SUM(K40:K60)</f>
        <v>-107.63999999999982</v>
      </c>
      <c r="L61" s="11">
        <f>SUM(L40:L60)</f>
        <v>-32738.319999999985</v>
      </c>
      <c r="M61" s="11"/>
      <c r="N61" s="11">
        <v>-19757.329999999991</v>
      </c>
    </row>
    <row r="62" spans="2:14" x14ac:dyDescent="0.25">
      <c r="F62" s="11"/>
      <c r="G62" s="11"/>
      <c r="H62" s="11"/>
      <c r="I62" s="11"/>
      <c r="K62" s="11"/>
      <c r="L62" s="11"/>
      <c r="M62" s="11"/>
      <c r="N62" s="11"/>
    </row>
    <row r="63" spans="2:14" x14ac:dyDescent="0.25">
      <c r="F63" s="11"/>
      <c r="G63" s="11"/>
      <c r="H63" s="11"/>
      <c r="I63" s="11"/>
      <c r="K63" s="11"/>
      <c r="L63" s="11"/>
      <c r="M63" s="11"/>
      <c r="N63" s="11"/>
    </row>
    <row r="64" spans="2:14" x14ac:dyDescent="0.25">
      <c r="F64" s="11"/>
      <c r="G64" s="11"/>
      <c r="H64" s="11"/>
      <c r="I64" s="11"/>
      <c r="K64" s="11"/>
      <c r="L64" s="11"/>
      <c r="M64" s="11"/>
      <c r="N64" s="11"/>
    </row>
    <row r="65" spans="2:14" x14ac:dyDescent="0.25">
      <c r="F65" s="11"/>
      <c r="G65" s="11"/>
      <c r="H65" s="11"/>
      <c r="I65" s="11"/>
      <c r="K65" s="11"/>
      <c r="L65" s="11"/>
      <c r="M65" s="11"/>
      <c r="N65" s="11"/>
    </row>
    <row r="66" spans="2:14" x14ac:dyDescent="0.25">
      <c r="F66" s="11"/>
      <c r="G66" s="11"/>
      <c r="H66" s="11"/>
      <c r="I66" s="11"/>
      <c r="K66" s="11"/>
      <c r="L66" s="11"/>
      <c r="M66" s="11"/>
      <c r="N66" s="11"/>
    </row>
    <row r="67" spans="2:14" x14ac:dyDescent="0.25">
      <c r="F67" s="11"/>
      <c r="G67" s="11"/>
      <c r="H67" s="11"/>
      <c r="I67" s="11"/>
      <c r="K67" s="11"/>
      <c r="L67" s="11"/>
      <c r="M67" s="11"/>
      <c r="N67" s="11"/>
    </row>
    <row r="68" spans="2:14" x14ac:dyDescent="0.25">
      <c r="F68" s="11"/>
      <c r="G68" s="11"/>
      <c r="H68" s="11"/>
      <c r="I68" s="11"/>
      <c r="K68" s="11"/>
      <c r="L68" s="11"/>
      <c r="M68" s="11"/>
      <c r="N68" s="11"/>
    </row>
    <row r="69" spans="2:14" x14ac:dyDescent="0.25">
      <c r="F69" s="11"/>
      <c r="G69" s="11"/>
      <c r="H69" s="11"/>
      <c r="I69" s="11"/>
      <c r="K69" s="11"/>
      <c r="L69" s="11"/>
      <c r="M69" s="11"/>
      <c r="N69" s="11"/>
    </row>
    <row r="70" spans="2:14" x14ac:dyDescent="0.25">
      <c r="F70" t="s">
        <v>62</v>
      </c>
      <c r="G70" t="s">
        <v>67</v>
      </c>
      <c r="H70" t="s">
        <v>75</v>
      </c>
      <c r="I70" t="s">
        <v>76</v>
      </c>
      <c r="L70" t="s">
        <v>63</v>
      </c>
      <c r="N70" s="39" t="s">
        <v>63</v>
      </c>
    </row>
    <row r="71" spans="2:14" x14ac:dyDescent="0.25">
      <c r="F71" s="1">
        <v>43831</v>
      </c>
      <c r="G71" s="5"/>
      <c r="H71" s="5"/>
      <c r="I71" s="5"/>
      <c r="J71" s="22"/>
      <c r="K71" s="5" t="s">
        <v>66</v>
      </c>
      <c r="L71" s="38" t="s">
        <v>175</v>
      </c>
      <c r="N71" s="40" t="s">
        <v>176</v>
      </c>
    </row>
    <row r="72" spans="2:14" x14ac:dyDescent="0.25">
      <c r="E72" t="s">
        <v>107</v>
      </c>
      <c r="F72" s="11">
        <v>0</v>
      </c>
      <c r="G72" s="11">
        <f>SUM(G61)</f>
        <v>-74.999999999999972</v>
      </c>
      <c r="H72" s="11">
        <f>SUM(H61)</f>
        <v>-189.79000000000087</v>
      </c>
      <c r="I72" s="11">
        <f>SUM(I61)</f>
        <v>-32365.889999999996</v>
      </c>
      <c r="K72" s="11">
        <f>SUM(K61)</f>
        <v>-107.63999999999982</v>
      </c>
      <c r="L72" s="11">
        <f>SUM(L61)</f>
        <v>-32738.319999999985</v>
      </c>
      <c r="M72" s="14" t="s">
        <v>68</v>
      </c>
      <c r="N72">
        <v>-19757.329999999991</v>
      </c>
    </row>
    <row r="73" spans="2:14" ht="18.75" x14ac:dyDescent="0.3">
      <c r="B73" s="3" t="s">
        <v>41</v>
      </c>
      <c r="F73" s="11"/>
      <c r="G73" s="11"/>
      <c r="H73" s="11"/>
      <c r="I73" s="11"/>
      <c r="K73" s="11"/>
      <c r="L73" s="11"/>
      <c r="M73" s="13" t="s">
        <v>68</v>
      </c>
      <c r="N73" s="11"/>
    </row>
    <row r="74" spans="2:14" x14ac:dyDescent="0.25">
      <c r="B74" s="2" t="s">
        <v>42</v>
      </c>
      <c r="F74" s="11"/>
      <c r="G74" s="11"/>
      <c r="H74" s="11"/>
      <c r="I74" s="11"/>
      <c r="K74" s="11"/>
      <c r="L74" s="11"/>
      <c r="M74" s="13" t="s">
        <v>68</v>
      </c>
      <c r="N74" s="11"/>
    </row>
    <row r="75" spans="2:14" x14ac:dyDescent="0.25">
      <c r="C75" t="s">
        <v>43</v>
      </c>
      <c r="F75" s="11"/>
      <c r="G75" s="11"/>
      <c r="H75" s="11"/>
      <c r="I75" s="11">
        <v>1324.63</v>
      </c>
      <c r="K75" s="11"/>
      <c r="L75" s="11">
        <f t="shared" ref="L75:L101" si="2">SUM(F75+G75+H75+I75+K75)</f>
        <v>1324.63</v>
      </c>
      <c r="M75" s="13" t="s">
        <v>68</v>
      </c>
      <c r="N75" s="11">
        <v>1322.14</v>
      </c>
    </row>
    <row r="76" spans="2:14" x14ac:dyDescent="0.25">
      <c r="C76" t="s">
        <v>80</v>
      </c>
      <c r="F76" s="11"/>
      <c r="G76" s="11"/>
      <c r="H76" s="11"/>
      <c r="I76" s="11">
        <f>-212-199</f>
        <v>-411</v>
      </c>
      <c r="J76" s="21">
        <v>2</v>
      </c>
      <c r="K76" s="11">
        <v>199</v>
      </c>
      <c r="L76" s="11">
        <f t="shared" si="2"/>
        <v>-212</v>
      </c>
      <c r="M76" s="13" t="s">
        <v>68</v>
      </c>
      <c r="N76" s="11">
        <v>0</v>
      </c>
    </row>
    <row r="77" spans="2:14" x14ac:dyDescent="0.25">
      <c r="C77" t="s">
        <v>89</v>
      </c>
      <c r="F77" s="11"/>
      <c r="G77" s="11"/>
      <c r="H77" s="11"/>
      <c r="I77" s="11">
        <v>146.81</v>
      </c>
      <c r="K77" s="11"/>
      <c r="L77" s="11">
        <f t="shared" si="2"/>
        <v>146.81</v>
      </c>
      <c r="M77" s="13" t="s">
        <v>68</v>
      </c>
      <c r="N77" s="11">
        <v>452.81000000000006</v>
      </c>
    </row>
    <row r="78" spans="2:14" x14ac:dyDescent="0.25">
      <c r="C78" t="s">
        <v>44</v>
      </c>
      <c r="F78" s="11"/>
      <c r="G78" s="11"/>
      <c r="H78" s="11"/>
      <c r="I78" s="11">
        <v>577.6</v>
      </c>
      <c r="K78" s="11"/>
      <c r="L78" s="11">
        <f t="shared" si="2"/>
        <v>577.6</v>
      </c>
      <c r="M78" s="13" t="s">
        <v>68</v>
      </c>
      <c r="N78" s="11">
        <v>451.09000000000003</v>
      </c>
    </row>
    <row r="79" spans="2:14" x14ac:dyDescent="0.25">
      <c r="C79" t="s">
        <v>45</v>
      </c>
      <c r="F79" s="11"/>
      <c r="G79" s="11"/>
      <c r="H79" s="11"/>
      <c r="I79" s="11">
        <v>541.46</v>
      </c>
      <c r="K79" s="11"/>
      <c r="L79" s="11">
        <f t="shared" si="2"/>
        <v>541.46</v>
      </c>
      <c r="M79" s="13" t="s">
        <v>68</v>
      </c>
      <c r="N79" s="11">
        <v>481.84000000000003</v>
      </c>
    </row>
    <row r="80" spans="2:14" x14ac:dyDescent="0.25">
      <c r="C80" t="s">
        <v>46</v>
      </c>
      <c r="F80" s="11"/>
      <c r="G80" s="11"/>
      <c r="H80" s="11"/>
      <c r="I80" s="11">
        <v>503.99</v>
      </c>
      <c r="K80" s="11"/>
      <c r="L80" s="11">
        <f t="shared" si="2"/>
        <v>503.99</v>
      </c>
      <c r="M80" s="13" t="s">
        <v>68</v>
      </c>
      <c r="N80" s="11">
        <v>581.84</v>
      </c>
    </row>
    <row r="81" spans="2:14" x14ac:dyDescent="0.25">
      <c r="C81" t="s">
        <v>47</v>
      </c>
      <c r="F81" s="11"/>
      <c r="G81" s="11"/>
      <c r="H81" s="11"/>
      <c r="I81" s="11">
        <v>1093.44</v>
      </c>
      <c r="K81" s="11"/>
      <c r="L81" s="11">
        <f t="shared" si="2"/>
        <v>1093.44</v>
      </c>
      <c r="M81" s="13" t="s">
        <v>68</v>
      </c>
      <c r="N81" s="11">
        <v>1088.6400000000001</v>
      </c>
    </row>
    <row r="82" spans="2:14" x14ac:dyDescent="0.25">
      <c r="C82" t="s">
        <v>48</v>
      </c>
      <c r="F82" s="11"/>
      <c r="G82" s="11"/>
      <c r="H82" s="11"/>
      <c r="I82" s="11"/>
      <c r="K82" s="11"/>
      <c r="L82" s="11">
        <f t="shared" si="2"/>
        <v>0</v>
      </c>
      <c r="M82" s="13" t="s">
        <v>68</v>
      </c>
      <c r="N82" s="11">
        <v>0</v>
      </c>
    </row>
    <row r="83" spans="2:14" x14ac:dyDescent="0.25">
      <c r="D83" t="s">
        <v>156</v>
      </c>
      <c r="F83" s="11"/>
      <c r="G83" s="11"/>
      <c r="H83" s="11"/>
      <c r="I83" s="11">
        <v>6715.5</v>
      </c>
      <c r="K83" s="11"/>
      <c r="L83" s="11">
        <f t="shared" si="2"/>
        <v>6715.5</v>
      </c>
      <c r="M83" s="13" t="s">
        <v>68</v>
      </c>
      <c r="N83" s="11">
        <v>0</v>
      </c>
    </row>
    <row r="84" spans="2:14" x14ac:dyDescent="0.25">
      <c r="D84" t="s">
        <v>139</v>
      </c>
      <c r="F84" s="11"/>
      <c r="G84" s="11"/>
      <c r="H84" s="11"/>
      <c r="I84" s="11"/>
      <c r="J84" s="21">
        <v>3</v>
      </c>
      <c r="K84" s="11">
        <v>-776.48</v>
      </c>
      <c r="L84" s="11">
        <f t="shared" si="2"/>
        <v>-776.48</v>
      </c>
      <c r="M84" s="13" t="s">
        <v>68</v>
      </c>
      <c r="N84" s="11">
        <v>0</v>
      </c>
    </row>
    <row r="85" spans="2:14" ht="15.75" x14ac:dyDescent="0.25">
      <c r="B85" s="9" t="s">
        <v>50</v>
      </c>
      <c r="F85" s="11"/>
      <c r="G85" s="11"/>
      <c r="H85" s="11"/>
      <c r="I85" s="11"/>
      <c r="K85" s="11"/>
      <c r="L85" s="11">
        <f t="shared" si="2"/>
        <v>0</v>
      </c>
      <c r="M85" s="13" t="s">
        <v>68</v>
      </c>
      <c r="N85" s="11">
        <v>0</v>
      </c>
    </row>
    <row r="86" spans="2:14" x14ac:dyDescent="0.25">
      <c r="C86" t="s">
        <v>51</v>
      </c>
      <c r="F86" s="11"/>
      <c r="G86" s="11"/>
      <c r="H86" s="11"/>
      <c r="I86" s="11">
        <v>6353.72</v>
      </c>
      <c r="K86" s="11"/>
      <c r="L86" s="11">
        <f t="shared" si="2"/>
        <v>6353.72</v>
      </c>
      <c r="M86" s="13" t="s">
        <v>68</v>
      </c>
      <c r="N86" s="11">
        <v>6074.3200000000006</v>
      </c>
    </row>
    <row r="87" spans="2:14" x14ac:dyDescent="0.25">
      <c r="C87" t="s">
        <v>19</v>
      </c>
      <c r="F87" s="11"/>
      <c r="G87" s="11"/>
      <c r="I87" s="11">
        <v>1358.6</v>
      </c>
      <c r="J87" s="21">
        <v>1</v>
      </c>
      <c r="K87" s="11">
        <v>16.940000000000001</v>
      </c>
      <c r="L87" s="11">
        <f t="shared" si="2"/>
        <v>1375.54</v>
      </c>
      <c r="M87" s="13" t="s">
        <v>68</v>
      </c>
      <c r="N87" s="11">
        <v>1125.96</v>
      </c>
    </row>
    <row r="88" spans="2:14" x14ac:dyDescent="0.25">
      <c r="C88" t="s">
        <v>159</v>
      </c>
      <c r="F88" s="11"/>
      <c r="G88" s="11"/>
      <c r="I88" s="11">
        <v>260.14999999999998</v>
      </c>
      <c r="K88" s="11"/>
      <c r="L88" s="11">
        <f t="shared" si="2"/>
        <v>260.14999999999998</v>
      </c>
      <c r="M88" s="13" t="s">
        <v>68</v>
      </c>
      <c r="N88" s="11">
        <v>0</v>
      </c>
    </row>
    <row r="89" spans="2:14" x14ac:dyDescent="0.25">
      <c r="C89" t="s">
        <v>52</v>
      </c>
      <c r="F89" s="11"/>
      <c r="G89" s="11"/>
      <c r="H89" s="11"/>
      <c r="I89" s="11">
        <f>347.78+358.75</f>
        <v>706.53</v>
      </c>
      <c r="K89" s="11"/>
      <c r="L89" s="11">
        <f t="shared" si="2"/>
        <v>706.53</v>
      </c>
      <c r="M89" s="13" t="s">
        <v>68</v>
      </c>
      <c r="N89" s="11">
        <v>1230.92</v>
      </c>
    </row>
    <row r="90" spans="2:14" x14ac:dyDescent="0.25">
      <c r="C90" t="s">
        <v>53</v>
      </c>
      <c r="F90" s="11"/>
      <c r="G90" s="11"/>
      <c r="H90" s="11"/>
      <c r="I90" s="11"/>
      <c r="K90" s="11"/>
      <c r="L90" s="11">
        <f t="shared" si="2"/>
        <v>0</v>
      </c>
      <c r="M90" s="13" t="s">
        <v>68</v>
      </c>
      <c r="N90" s="11">
        <v>642.84</v>
      </c>
    </row>
    <row r="91" spans="2:14" x14ac:dyDescent="0.25">
      <c r="C91" t="s">
        <v>120</v>
      </c>
      <c r="F91" s="11"/>
      <c r="G91" s="11"/>
      <c r="H91" s="11"/>
      <c r="I91" s="11"/>
      <c r="K91" s="11"/>
      <c r="L91" s="11">
        <f t="shared" si="2"/>
        <v>0</v>
      </c>
      <c r="M91" s="13" t="s">
        <v>68</v>
      </c>
      <c r="N91" s="11">
        <v>875.11</v>
      </c>
    </row>
    <row r="92" spans="2:14" x14ac:dyDescent="0.25">
      <c r="C92" t="s">
        <v>54</v>
      </c>
      <c r="F92" s="11"/>
      <c r="G92" s="11"/>
      <c r="H92" s="11"/>
      <c r="I92" s="11">
        <v>848.19</v>
      </c>
      <c r="K92" s="11"/>
      <c r="L92" s="11">
        <f t="shared" si="2"/>
        <v>848.19</v>
      </c>
      <c r="M92" s="13" t="s">
        <v>68</v>
      </c>
      <c r="N92" s="11">
        <v>35.78</v>
      </c>
    </row>
    <row r="93" spans="2:14" x14ac:dyDescent="0.25">
      <c r="C93" t="s">
        <v>36</v>
      </c>
      <c r="F93" s="11"/>
      <c r="G93" s="11"/>
      <c r="H93" s="11"/>
      <c r="I93" s="11"/>
      <c r="K93" s="11"/>
      <c r="L93" s="11">
        <f t="shared" si="2"/>
        <v>0</v>
      </c>
      <c r="M93" s="13" t="s">
        <v>68</v>
      </c>
      <c r="N93" s="11">
        <v>56.89</v>
      </c>
    </row>
    <row r="94" spans="2:14" x14ac:dyDescent="0.25">
      <c r="C94" t="s">
        <v>34</v>
      </c>
      <c r="F94" s="11"/>
      <c r="G94" s="11"/>
      <c r="H94" s="11"/>
      <c r="I94" s="11"/>
      <c r="K94" s="11"/>
      <c r="L94" s="11">
        <f t="shared" si="2"/>
        <v>0</v>
      </c>
      <c r="M94" s="13" t="s">
        <v>68</v>
      </c>
      <c r="N94" s="11">
        <v>77.31</v>
      </c>
    </row>
    <row r="95" spans="2:14" x14ac:dyDescent="0.25">
      <c r="C95" t="s">
        <v>86</v>
      </c>
      <c r="F95" s="11"/>
      <c r="G95" s="11"/>
      <c r="H95" s="11"/>
      <c r="I95" s="11">
        <v>10950.53</v>
      </c>
      <c r="J95" s="21">
        <v>10</v>
      </c>
      <c r="K95" s="11">
        <v>668.18</v>
      </c>
      <c r="L95" s="11">
        <f t="shared" si="2"/>
        <v>11618.710000000001</v>
      </c>
      <c r="M95" s="13" t="s">
        <v>68</v>
      </c>
      <c r="N95" s="11">
        <v>4176.7000000000007</v>
      </c>
    </row>
    <row r="96" spans="2:14" ht="15.75" x14ac:dyDescent="0.25">
      <c r="B96" s="9" t="s">
        <v>55</v>
      </c>
      <c r="F96" s="11"/>
      <c r="G96" s="11"/>
      <c r="H96" s="11"/>
      <c r="I96" s="11"/>
      <c r="K96" s="11"/>
      <c r="L96" s="11"/>
      <c r="M96" s="13" t="s">
        <v>68</v>
      </c>
      <c r="N96" s="11"/>
    </row>
    <row r="97" spans="3:14" x14ac:dyDescent="0.25">
      <c r="C97" t="s">
        <v>56</v>
      </c>
      <c r="F97" s="11"/>
      <c r="G97" s="11">
        <v>75</v>
      </c>
      <c r="H97" s="11"/>
      <c r="I97" s="11">
        <v>600.97</v>
      </c>
      <c r="K97" s="11"/>
      <c r="L97" s="11">
        <f t="shared" si="2"/>
        <v>675.97</v>
      </c>
      <c r="M97" s="13" t="s">
        <v>68</v>
      </c>
      <c r="N97" s="11">
        <v>434.89</v>
      </c>
    </row>
    <row r="98" spans="3:14" x14ac:dyDescent="0.25">
      <c r="C98" t="s">
        <v>121</v>
      </c>
      <c r="F98" s="11"/>
      <c r="G98" s="11"/>
      <c r="H98" s="11"/>
      <c r="I98" s="11">
        <v>395.33</v>
      </c>
      <c r="K98" s="11"/>
      <c r="L98" s="11">
        <f t="shared" si="2"/>
        <v>395.33</v>
      </c>
      <c r="M98" s="13" t="s">
        <v>68</v>
      </c>
      <c r="N98" s="11">
        <v>220.19</v>
      </c>
    </row>
    <row r="99" spans="3:14" x14ac:dyDescent="0.25">
      <c r="C99" t="s">
        <v>114</v>
      </c>
      <c r="F99" s="11"/>
      <c r="G99" s="11"/>
      <c r="H99" s="11"/>
      <c r="I99" s="11"/>
      <c r="K99" s="11"/>
      <c r="L99" s="11">
        <f t="shared" si="2"/>
        <v>0</v>
      </c>
      <c r="M99" s="13" t="s">
        <v>68</v>
      </c>
      <c r="N99" s="11">
        <v>25</v>
      </c>
    </row>
    <row r="100" spans="3:14" x14ac:dyDescent="0.25">
      <c r="C100" t="s">
        <v>59</v>
      </c>
      <c r="F100" s="11"/>
      <c r="G100" s="11"/>
      <c r="H100" s="11">
        <v>189.79</v>
      </c>
      <c r="I100" s="11">
        <v>399.44</v>
      </c>
      <c r="K100" s="11"/>
      <c r="L100" s="11">
        <f t="shared" si="2"/>
        <v>589.23</v>
      </c>
      <c r="M100" s="13" t="s">
        <v>68</v>
      </c>
      <c r="N100" s="11">
        <v>403.05999999999995</v>
      </c>
    </row>
    <row r="101" spans="3:14" x14ac:dyDescent="0.25">
      <c r="F101" s="11"/>
      <c r="G101" s="11"/>
      <c r="H101" s="11"/>
      <c r="I101" s="11"/>
      <c r="K101" s="11"/>
      <c r="L101" s="11">
        <f t="shared" si="2"/>
        <v>0</v>
      </c>
      <c r="M101" s="13" t="s">
        <v>68</v>
      </c>
      <c r="N101" s="11"/>
    </row>
    <row r="102" spans="3:14" ht="15.75" thickBot="1" x14ac:dyDescent="0.3">
      <c r="F102" s="15">
        <f>SUM(F72:F101)</f>
        <v>0</v>
      </c>
      <c r="G102" s="15">
        <f t="shared" ref="G102:L102" si="3">SUM(G72:G101)</f>
        <v>0</v>
      </c>
      <c r="H102" s="15">
        <f t="shared" si="3"/>
        <v>-8.8107299234252423E-13</v>
      </c>
      <c r="I102" s="15">
        <f t="shared" si="3"/>
        <v>7.503331289626658E-12</v>
      </c>
      <c r="J102" s="11"/>
      <c r="K102" s="15">
        <f t="shared" si="3"/>
        <v>0</v>
      </c>
      <c r="L102" s="15">
        <f t="shared" si="3"/>
        <v>1.9326762412674725E-11</v>
      </c>
      <c r="M102" s="11"/>
      <c r="N102" s="15">
        <v>1.0516032489249483E-11</v>
      </c>
    </row>
    <row r="103" spans="3:14" ht="15.75" thickTop="1" x14ac:dyDescent="0.25">
      <c r="F103" s="11"/>
      <c r="G103" s="13" t="s">
        <v>116</v>
      </c>
      <c r="H103" s="13" t="s">
        <v>116</v>
      </c>
      <c r="I103" s="13" t="s">
        <v>116</v>
      </c>
      <c r="K103" s="11"/>
      <c r="L103" s="11"/>
      <c r="M103" s="11"/>
      <c r="N103" s="11"/>
    </row>
    <row r="104" spans="3:14" x14ac:dyDescent="0.25">
      <c r="G104" s="14" t="s">
        <v>117</v>
      </c>
      <c r="H104" s="14" t="s">
        <v>117</v>
      </c>
      <c r="I104" s="14" t="s">
        <v>117</v>
      </c>
    </row>
  </sheetData>
  <pageMargins left="0.7" right="0.7" top="0.75" bottom="0.75" header="0.3" footer="0.3"/>
  <pageSetup paperSize="9" scale="9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ED0F-EA50-469C-B75A-A040AF501262}">
  <dimension ref="A1:O101"/>
  <sheetViews>
    <sheetView topLeftCell="A79" workbookViewId="0">
      <selection activeCell="H68" sqref="H68"/>
    </sheetView>
  </sheetViews>
  <sheetFormatPr defaultRowHeight="15" x14ac:dyDescent="0.25"/>
  <cols>
    <col min="1" max="1" width="5.5703125" customWidth="1"/>
    <col min="3" max="3" width="18.5703125" customWidth="1"/>
    <col min="4" max="4" width="8.28515625" customWidth="1"/>
    <col min="5" max="5" width="7.42578125" customWidth="1"/>
    <col min="6" max="6" width="0.7109375" customWidth="1"/>
    <col min="7" max="7" width="8.7109375" customWidth="1"/>
    <col min="8" max="8" width="7.85546875" customWidth="1"/>
    <col min="9" max="9" width="0.5703125" customWidth="1"/>
    <col min="10" max="10" width="6.7109375" customWidth="1"/>
    <col min="11" max="11" width="7" customWidth="1"/>
    <col min="12" max="12" width="0.5703125" customWidth="1"/>
    <col min="13" max="13" width="6.140625" customWidth="1"/>
    <col min="14" max="14" width="6.5703125" customWidth="1"/>
    <col min="15" max="15" width="1.7109375" customWidth="1"/>
  </cols>
  <sheetData>
    <row r="1" spans="1:15" ht="21" x14ac:dyDescent="0.35">
      <c r="A1" s="7" t="s">
        <v>0</v>
      </c>
    </row>
    <row r="2" spans="1:15" ht="18.75" x14ac:dyDescent="0.3">
      <c r="A2" s="9" t="s">
        <v>26</v>
      </c>
      <c r="B2" s="3"/>
      <c r="C2" s="3"/>
      <c r="D2" s="10" t="s">
        <v>40</v>
      </c>
      <c r="E2" s="18"/>
      <c r="F2" s="3"/>
      <c r="G2" t="s">
        <v>39</v>
      </c>
      <c r="I2" s="3"/>
      <c r="J2" s="10" t="s">
        <v>40</v>
      </c>
      <c r="K2" s="18"/>
      <c r="L2" s="3"/>
      <c r="M2" t="s">
        <v>39</v>
      </c>
    </row>
    <row r="3" spans="1:15" x14ac:dyDescent="0.25">
      <c r="D3" s="16"/>
      <c r="E3" s="16">
        <v>2020</v>
      </c>
      <c r="G3" s="5"/>
      <c r="H3" s="5">
        <v>2019</v>
      </c>
      <c r="J3" s="16"/>
      <c r="K3" s="16">
        <v>2019</v>
      </c>
      <c r="M3" s="5"/>
      <c r="N3" s="5">
        <v>2018</v>
      </c>
    </row>
    <row r="4" spans="1:15" ht="15.75" x14ac:dyDescent="0.25">
      <c r="A4" s="9" t="s">
        <v>27</v>
      </c>
      <c r="D4" s="17"/>
      <c r="E4" s="17" t="s">
        <v>10</v>
      </c>
      <c r="F4" s="4"/>
      <c r="G4" s="4"/>
      <c r="H4" s="4" t="s">
        <v>10</v>
      </c>
      <c r="J4" s="17"/>
      <c r="K4" s="17" t="s">
        <v>10</v>
      </c>
      <c r="L4" s="4"/>
      <c r="M4" s="4"/>
      <c r="N4" s="4" t="s">
        <v>10</v>
      </c>
      <c r="O4" s="4"/>
    </row>
    <row r="5" spans="1:15" x14ac:dyDescent="0.25">
      <c r="A5" t="s">
        <v>122</v>
      </c>
      <c r="D5" s="32"/>
      <c r="E5" s="32">
        <v>12000</v>
      </c>
      <c r="F5" s="25"/>
      <c r="G5" s="25"/>
      <c r="H5" s="25">
        <v>12020</v>
      </c>
      <c r="I5" s="25"/>
      <c r="J5" s="32"/>
      <c r="K5" s="32">
        <v>12000</v>
      </c>
      <c r="L5" s="25"/>
      <c r="M5" s="25"/>
      <c r="N5" s="25">
        <v>11635</v>
      </c>
      <c r="O5" s="25"/>
    </row>
    <row r="6" spans="1:15" x14ac:dyDescent="0.25">
      <c r="A6" t="s">
        <v>29</v>
      </c>
      <c r="D6" s="32"/>
      <c r="E6" s="32">
        <v>800</v>
      </c>
      <c r="F6" s="25"/>
      <c r="G6" s="25"/>
      <c r="H6" s="25">
        <v>818</v>
      </c>
      <c r="I6" s="25"/>
      <c r="J6" s="32"/>
      <c r="K6" s="32">
        <v>800</v>
      </c>
      <c r="L6" s="25"/>
      <c r="M6" s="25"/>
      <c r="N6" s="25">
        <f>818-37+20</f>
        <v>801</v>
      </c>
      <c r="O6" s="25"/>
    </row>
    <row r="7" spans="1:15" x14ac:dyDescent="0.25">
      <c r="A7" t="s">
        <v>30</v>
      </c>
      <c r="D7" s="32"/>
      <c r="E7" s="32">
        <v>1500</v>
      </c>
      <c r="F7" s="25"/>
      <c r="G7" s="25"/>
      <c r="H7" s="25">
        <v>1500</v>
      </c>
      <c r="I7" s="25"/>
      <c r="J7" s="32"/>
      <c r="K7" s="32">
        <v>1500</v>
      </c>
      <c r="L7" s="25"/>
      <c r="M7" s="25"/>
      <c r="N7" s="25">
        <v>1563</v>
      </c>
      <c r="O7" s="25"/>
    </row>
    <row r="8" spans="1:15" x14ac:dyDescent="0.25">
      <c r="A8" t="s">
        <v>31</v>
      </c>
      <c r="D8" s="32"/>
      <c r="E8" s="32">
        <v>450</v>
      </c>
      <c r="F8" s="25"/>
      <c r="G8" s="25"/>
      <c r="H8" s="25">
        <v>450</v>
      </c>
      <c r="I8" s="25"/>
      <c r="J8" s="32"/>
      <c r="K8" s="32">
        <v>450</v>
      </c>
      <c r="L8" s="25"/>
      <c r="M8" s="25"/>
      <c r="N8" s="25">
        <v>450</v>
      </c>
      <c r="O8" s="25"/>
    </row>
    <row r="9" spans="1:15" x14ac:dyDescent="0.25">
      <c r="A9" t="s">
        <v>142</v>
      </c>
      <c r="D9" s="32"/>
      <c r="E9" s="32">
        <v>450</v>
      </c>
      <c r="F9" s="25"/>
      <c r="G9" s="25"/>
      <c r="H9" s="25">
        <v>454</v>
      </c>
      <c r="I9" s="25"/>
      <c r="J9" s="32"/>
      <c r="K9" s="32"/>
      <c r="L9" s="25"/>
      <c r="M9" s="25"/>
      <c r="N9" s="25"/>
      <c r="O9" s="25"/>
    </row>
    <row r="10" spans="1:15" x14ac:dyDescent="0.25">
      <c r="A10" t="s">
        <v>32</v>
      </c>
      <c r="D10" s="32"/>
      <c r="E10" s="32">
        <v>350</v>
      </c>
      <c r="F10" s="25"/>
      <c r="G10" s="25"/>
      <c r="H10" s="25">
        <f>828-454</f>
        <v>374</v>
      </c>
      <c r="I10" s="25"/>
      <c r="J10" s="32"/>
      <c r="K10" s="32">
        <v>700</v>
      </c>
      <c r="L10" s="25"/>
      <c r="M10" s="25"/>
      <c r="N10" s="25">
        <f>594+237</f>
        <v>831</v>
      </c>
      <c r="O10" s="25"/>
    </row>
    <row r="11" spans="1:15" x14ac:dyDescent="0.25">
      <c r="A11" t="s">
        <v>115</v>
      </c>
      <c r="D11" s="32"/>
      <c r="E11" s="32"/>
      <c r="F11" s="25"/>
      <c r="G11" s="25"/>
      <c r="H11" s="25">
        <v>400</v>
      </c>
      <c r="I11" s="25"/>
      <c r="J11" s="32"/>
      <c r="K11" s="32"/>
      <c r="L11" s="25"/>
      <c r="M11" s="25"/>
      <c r="N11" s="25"/>
      <c r="O11" s="25"/>
    </row>
    <row r="12" spans="1:15" x14ac:dyDescent="0.25">
      <c r="A12" t="s">
        <v>125</v>
      </c>
      <c r="D12" s="32"/>
      <c r="E12" s="32">
        <v>200</v>
      </c>
      <c r="F12" s="25"/>
      <c r="G12" s="25"/>
      <c r="H12" s="25">
        <v>180</v>
      </c>
      <c r="I12" s="25"/>
      <c r="J12" s="32"/>
      <c r="K12" s="32">
        <v>500</v>
      </c>
      <c r="L12" s="25"/>
      <c r="M12" s="25"/>
      <c r="N12" s="25">
        <v>165</v>
      </c>
      <c r="O12" s="25"/>
    </row>
    <row r="13" spans="1:15" x14ac:dyDescent="0.25">
      <c r="A13" t="s">
        <v>124</v>
      </c>
      <c r="D13" s="32"/>
      <c r="E13" s="32">
        <v>0</v>
      </c>
      <c r="F13" s="25"/>
      <c r="G13" s="25"/>
      <c r="H13" s="25">
        <v>0</v>
      </c>
      <c r="I13" s="25"/>
      <c r="J13" s="32"/>
      <c r="K13" s="32">
        <v>0</v>
      </c>
      <c r="L13" s="25"/>
      <c r="M13" s="25"/>
      <c r="N13" s="25">
        <v>735</v>
      </c>
      <c r="O13" s="25"/>
    </row>
    <row r="14" spans="1:15" x14ac:dyDescent="0.25">
      <c r="A14" t="s">
        <v>143</v>
      </c>
      <c r="D14" s="32"/>
      <c r="E14" s="32">
        <v>1200</v>
      </c>
      <c r="F14" s="25"/>
      <c r="G14" s="25"/>
      <c r="H14" s="25">
        <v>1210</v>
      </c>
      <c r="I14" s="25"/>
      <c r="J14" s="32"/>
      <c r="K14" s="32"/>
      <c r="L14" s="25"/>
      <c r="M14" s="25"/>
      <c r="N14" s="25"/>
      <c r="O14" s="25"/>
    </row>
    <row r="15" spans="1:15" x14ac:dyDescent="0.25">
      <c r="A15" t="s">
        <v>144</v>
      </c>
      <c r="D15" s="32"/>
      <c r="E15" s="32">
        <f>1210+775</f>
        <v>1985</v>
      </c>
      <c r="F15" s="25"/>
      <c r="G15" s="25"/>
      <c r="H15" s="25">
        <v>627</v>
      </c>
      <c r="I15" s="25"/>
      <c r="J15" s="32"/>
      <c r="K15" s="32">
        <v>1400</v>
      </c>
      <c r="L15" s="25"/>
      <c r="M15" s="25"/>
      <c r="N15" s="25">
        <v>954</v>
      </c>
      <c r="O15" s="25"/>
    </row>
    <row r="16" spans="1:15" x14ac:dyDescent="0.25">
      <c r="A16" t="s">
        <v>34</v>
      </c>
      <c r="D16" s="32"/>
      <c r="E16" s="32">
        <v>600</v>
      </c>
      <c r="F16" s="25"/>
      <c r="G16" s="25"/>
      <c r="H16" s="25">
        <v>489</v>
      </c>
      <c r="I16" s="25"/>
      <c r="J16" s="32"/>
      <c r="K16" s="32">
        <v>650</v>
      </c>
      <c r="L16" s="25"/>
      <c r="M16" s="25"/>
      <c r="N16" s="25">
        <v>679</v>
      </c>
      <c r="O16" s="25"/>
    </row>
    <row r="17" spans="1:15" x14ac:dyDescent="0.25">
      <c r="A17" t="s">
        <v>35</v>
      </c>
      <c r="D17" s="32"/>
      <c r="E17" s="32">
        <v>300</v>
      </c>
      <c r="F17" s="25"/>
      <c r="G17" s="25"/>
      <c r="H17" s="25">
        <v>400</v>
      </c>
      <c r="I17" s="25"/>
      <c r="J17" s="32"/>
      <c r="K17" s="32">
        <v>450</v>
      </c>
      <c r="L17" s="25"/>
      <c r="M17" s="25"/>
      <c r="N17" s="25">
        <v>542</v>
      </c>
      <c r="O17" s="25"/>
    </row>
    <row r="18" spans="1:15" x14ac:dyDescent="0.25">
      <c r="A18" t="s">
        <v>36</v>
      </c>
      <c r="D18" s="32"/>
      <c r="E18" s="32">
        <v>500</v>
      </c>
      <c r="F18" s="25"/>
      <c r="G18" s="25"/>
      <c r="H18" s="25">
        <v>500</v>
      </c>
      <c r="I18" s="25"/>
      <c r="J18" s="32"/>
      <c r="K18" s="32">
        <v>300</v>
      </c>
      <c r="L18" s="25"/>
      <c r="M18" s="25"/>
      <c r="N18" s="25">
        <v>337</v>
      </c>
      <c r="O18" s="25"/>
    </row>
    <row r="19" spans="1:15" x14ac:dyDescent="0.25">
      <c r="A19" t="s">
        <v>127</v>
      </c>
      <c r="D19" s="32"/>
      <c r="E19" s="32">
        <v>2400</v>
      </c>
      <c r="F19" s="25"/>
      <c r="G19" s="25"/>
      <c r="H19" s="25">
        <v>4225</v>
      </c>
      <c r="I19" s="25"/>
      <c r="J19" s="32"/>
      <c r="K19" s="32">
        <v>0</v>
      </c>
      <c r="L19" s="25"/>
      <c r="M19" s="25"/>
      <c r="N19" s="25">
        <v>0</v>
      </c>
      <c r="O19" s="25"/>
    </row>
    <row r="20" spans="1:15" x14ac:dyDescent="0.25">
      <c r="A20" t="s">
        <v>38</v>
      </c>
      <c r="D20" s="32"/>
      <c r="E20" s="32">
        <v>0</v>
      </c>
      <c r="F20" s="25"/>
      <c r="G20" s="25"/>
      <c r="H20" s="25">
        <v>4</v>
      </c>
      <c r="I20" s="25"/>
      <c r="J20" s="32"/>
      <c r="K20" s="32"/>
      <c r="L20" s="25"/>
      <c r="M20" s="25"/>
      <c r="N20" s="25"/>
      <c r="O20" s="25"/>
    </row>
    <row r="21" spans="1:15" ht="15.75" x14ac:dyDescent="0.25">
      <c r="A21" s="9" t="s">
        <v>49</v>
      </c>
      <c r="D21" s="32"/>
      <c r="E21" s="34">
        <f>SUM(E5:E20)</f>
        <v>22735</v>
      </c>
      <c r="F21" s="25"/>
      <c r="G21" s="25"/>
      <c r="H21" s="35">
        <f>SUM(H5:H20)</f>
        <v>23651</v>
      </c>
      <c r="I21" s="25"/>
      <c r="J21" s="32"/>
      <c r="K21" s="34">
        <f>SUM(K5:K19)</f>
        <v>18750</v>
      </c>
      <c r="L21" s="25"/>
      <c r="M21" s="25"/>
      <c r="N21" s="35">
        <f>SUM(N5:N19)</f>
        <v>18692</v>
      </c>
      <c r="O21" s="25"/>
    </row>
    <row r="22" spans="1:15" x14ac:dyDescent="0.25">
      <c r="D22" s="32"/>
      <c r="E22" s="32"/>
      <c r="F22" s="25"/>
      <c r="G22" s="25"/>
      <c r="H22" s="25"/>
      <c r="I22" s="25"/>
      <c r="J22" s="32"/>
      <c r="K22" s="32"/>
      <c r="L22" s="25"/>
      <c r="M22" s="25"/>
      <c r="N22" s="25"/>
      <c r="O22" s="25"/>
    </row>
    <row r="23" spans="1:15" ht="18.75" x14ac:dyDescent="0.3">
      <c r="A23" s="3" t="s">
        <v>41</v>
      </c>
      <c r="D23" s="32"/>
      <c r="E23" s="32"/>
      <c r="F23" s="25"/>
      <c r="G23" s="25"/>
      <c r="H23" s="25"/>
      <c r="I23" s="25"/>
      <c r="J23" s="32"/>
      <c r="K23" s="32"/>
      <c r="L23" s="25"/>
      <c r="M23" s="25"/>
      <c r="N23" s="25"/>
      <c r="O23" s="25"/>
    </row>
    <row r="24" spans="1:15" x14ac:dyDescent="0.25">
      <c r="A24" s="2" t="s">
        <v>42</v>
      </c>
      <c r="D24" s="32"/>
      <c r="E24" s="32"/>
      <c r="F24" s="25"/>
      <c r="G24" s="25"/>
      <c r="H24" s="25"/>
      <c r="I24" s="25"/>
      <c r="J24" s="32"/>
      <c r="K24" s="32"/>
      <c r="L24" s="25"/>
      <c r="M24" s="25"/>
      <c r="N24" s="25"/>
      <c r="O24" s="25"/>
    </row>
    <row r="25" spans="1:15" x14ac:dyDescent="0.25">
      <c r="B25" t="s">
        <v>43</v>
      </c>
      <c r="D25" s="32">
        <v>1400</v>
      </c>
      <c r="E25" s="32"/>
      <c r="F25" s="25"/>
      <c r="G25" s="25">
        <f>1521-199</f>
        <v>1322</v>
      </c>
      <c r="H25" s="25"/>
      <c r="I25" s="25"/>
      <c r="J25" s="32">
        <v>1400</v>
      </c>
      <c r="K25" s="32"/>
      <c r="L25" s="25"/>
      <c r="M25" s="25">
        <f>1361-156</f>
        <v>1205</v>
      </c>
      <c r="N25" s="25"/>
      <c r="O25" s="25"/>
    </row>
    <row r="26" spans="1:15" x14ac:dyDescent="0.25">
      <c r="B26" t="s">
        <v>103</v>
      </c>
      <c r="D26" s="32"/>
      <c r="E26" s="32"/>
      <c r="F26" s="25"/>
      <c r="G26" s="25"/>
      <c r="H26" s="25"/>
      <c r="I26" s="25"/>
      <c r="J26" s="32"/>
      <c r="K26" s="32"/>
      <c r="L26" s="25"/>
      <c r="M26" s="25"/>
      <c r="N26" s="25"/>
      <c r="O26" s="25"/>
    </row>
    <row r="27" spans="1:15" x14ac:dyDescent="0.25">
      <c r="B27" t="s">
        <v>104</v>
      </c>
      <c r="D27" s="32">
        <v>1000</v>
      </c>
      <c r="E27" s="32"/>
      <c r="F27" s="25"/>
      <c r="G27" s="25">
        <v>904</v>
      </c>
      <c r="H27" s="25"/>
      <c r="I27" s="25"/>
      <c r="J27" s="32">
        <v>1000</v>
      </c>
      <c r="K27" s="32"/>
      <c r="L27" s="25"/>
      <c r="M27" s="25">
        <f>123+758</f>
        <v>881</v>
      </c>
      <c r="N27" s="25"/>
      <c r="O27" s="25"/>
    </row>
    <row r="28" spans="1:15" x14ac:dyDescent="0.25">
      <c r="B28" t="s">
        <v>45</v>
      </c>
      <c r="D28" s="32">
        <v>500</v>
      </c>
      <c r="E28" s="32"/>
      <c r="F28" s="25"/>
      <c r="G28" s="25">
        <v>482</v>
      </c>
      <c r="H28" s="25"/>
      <c r="I28" s="25"/>
      <c r="J28" s="32">
        <v>450</v>
      </c>
      <c r="K28" s="32"/>
      <c r="L28" s="25"/>
      <c r="M28" s="25">
        <v>444</v>
      </c>
      <c r="N28" s="25"/>
      <c r="O28" s="25"/>
    </row>
    <row r="29" spans="1:15" x14ac:dyDescent="0.25">
      <c r="B29" t="s">
        <v>46</v>
      </c>
      <c r="D29" s="32">
        <v>600</v>
      </c>
      <c r="E29" s="32"/>
      <c r="F29" s="25"/>
      <c r="G29" s="25">
        <v>582</v>
      </c>
      <c r="H29" s="25"/>
      <c r="I29" s="25"/>
      <c r="J29" s="32">
        <v>500</v>
      </c>
      <c r="K29" s="32"/>
      <c r="L29" s="25"/>
      <c r="M29" s="25">
        <v>501</v>
      </c>
      <c r="N29" s="25"/>
      <c r="O29" s="25"/>
    </row>
    <row r="30" spans="1:15" x14ac:dyDescent="0.25">
      <c r="B30" t="s">
        <v>47</v>
      </c>
      <c r="D30" s="32">
        <v>1100</v>
      </c>
      <c r="E30" s="32"/>
      <c r="F30" s="25"/>
      <c r="G30" s="25">
        <v>1088</v>
      </c>
      <c r="H30" s="25"/>
      <c r="I30" s="25"/>
      <c r="J30" s="32">
        <v>1350</v>
      </c>
      <c r="K30" s="32"/>
      <c r="L30" s="25"/>
      <c r="M30" s="25">
        <v>1319</v>
      </c>
      <c r="N30" s="25"/>
      <c r="O30" s="25"/>
    </row>
    <row r="31" spans="1:15" x14ac:dyDescent="0.25">
      <c r="B31" t="s">
        <v>133</v>
      </c>
      <c r="D31" s="33">
        <v>2775</v>
      </c>
      <c r="E31" s="32"/>
      <c r="F31" s="25"/>
      <c r="G31" s="28">
        <v>627</v>
      </c>
      <c r="H31" s="25"/>
      <c r="I31" s="25"/>
      <c r="J31" s="33">
        <v>1750</v>
      </c>
      <c r="K31" s="32"/>
      <c r="L31" s="25"/>
      <c r="M31" s="28">
        <f>189+389</f>
        <v>578</v>
      </c>
      <c r="N31" s="25"/>
      <c r="O31" s="25"/>
    </row>
    <row r="32" spans="1:15" x14ac:dyDescent="0.25">
      <c r="D32" s="32"/>
      <c r="E32" s="32">
        <f>SUM(D25:D31)</f>
        <v>7375</v>
      </c>
      <c r="F32" s="25"/>
      <c r="G32" s="25"/>
      <c r="H32" s="25">
        <f>SUM(G25:G31)</f>
        <v>5005</v>
      </c>
      <c r="I32" s="25"/>
      <c r="J32" s="32"/>
      <c r="K32" s="32">
        <f>SUM(J25:J31)</f>
        <v>6450</v>
      </c>
      <c r="L32" s="25"/>
      <c r="M32" s="25"/>
      <c r="N32" s="25">
        <f>SUM(M25:M31)</f>
        <v>4928</v>
      </c>
      <c r="O32" s="25"/>
    </row>
    <row r="33" spans="1:15" ht="15.75" x14ac:dyDescent="0.25">
      <c r="A33" s="9" t="s">
        <v>50</v>
      </c>
      <c r="D33" s="32"/>
      <c r="E33" s="32"/>
      <c r="F33" s="25"/>
      <c r="G33" s="25"/>
      <c r="H33" s="25"/>
      <c r="I33" s="25"/>
      <c r="J33" s="32"/>
      <c r="K33" s="32"/>
      <c r="L33" s="25"/>
      <c r="M33" s="25"/>
      <c r="N33" s="25"/>
      <c r="O33" s="25"/>
    </row>
    <row r="34" spans="1:15" x14ac:dyDescent="0.25">
      <c r="B34" t="s">
        <v>51</v>
      </c>
      <c r="D34" s="32">
        <v>7500</v>
      </c>
      <c r="E34" s="32"/>
      <c r="F34" s="25"/>
      <c r="G34" s="25">
        <v>7200</v>
      </c>
      <c r="H34" s="25"/>
      <c r="I34" s="25"/>
      <c r="J34" s="32">
        <v>7500</v>
      </c>
      <c r="K34" s="32"/>
      <c r="L34" s="25"/>
      <c r="M34" s="25">
        <f>6650-1053+952</f>
        <v>6549</v>
      </c>
      <c r="N34" s="25"/>
      <c r="O34" s="25"/>
    </row>
    <row r="35" spans="1:15" x14ac:dyDescent="0.25">
      <c r="B35" t="s">
        <v>52</v>
      </c>
      <c r="D35" s="32">
        <v>1000</v>
      </c>
      <c r="E35" s="32"/>
      <c r="F35" s="25"/>
      <c r="G35" s="25">
        <v>1231</v>
      </c>
      <c r="H35" s="25"/>
      <c r="I35" s="25"/>
      <c r="J35" s="32">
        <v>1000</v>
      </c>
      <c r="K35" s="32"/>
      <c r="L35" s="25"/>
      <c r="M35" s="25">
        <v>637</v>
      </c>
      <c r="N35" s="25"/>
      <c r="O35" s="25"/>
    </row>
    <row r="36" spans="1:15" x14ac:dyDescent="0.25">
      <c r="B36" t="s">
        <v>53</v>
      </c>
      <c r="D36" s="32">
        <v>700</v>
      </c>
      <c r="E36" s="32"/>
      <c r="F36" s="25"/>
      <c r="G36" s="25">
        <v>643</v>
      </c>
      <c r="H36" s="25"/>
      <c r="I36" s="25"/>
      <c r="J36" s="32">
        <v>800</v>
      </c>
      <c r="K36" s="32"/>
      <c r="L36" s="25"/>
      <c r="M36" s="25">
        <v>513</v>
      </c>
      <c r="N36" s="25"/>
      <c r="O36" s="25"/>
    </row>
    <row r="37" spans="1:15" x14ac:dyDescent="0.25">
      <c r="B37" t="s">
        <v>128</v>
      </c>
      <c r="D37" s="32">
        <v>0</v>
      </c>
      <c r="E37" s="32"/>
      <c r="F37" s="25"/>
      <c r="G37" s="25">
        <v>875</v>
      </c>
      <c r="H37" s="25"/>
      <c r="I37" s="25"/>
      <c r="J37" s="32">
        <v>0</v>
      </c>
      <c r="K37" s="32"/>
      <c r="L37" s="25"/>
      <c r="M37" s="25">
        <v>0</v>
      </c>
      <c r="N37" s="25"/>
      <c r="O37" s="25"/>
    </row>
    <row r="38" spans="1:15" x14ac:dyDescent="0.25">
      <c r="B38" t="s">
        <v>131</v>
      </c>
      <c r="D38" s="32">
        <f>1210</f>
        <v>1210</v>
      </c>
      <c r="E38" s="32"/>
      <c r="F38" s="25"/>
      <c r="G38" s="25">
        <v>0</v>
      </c>
      <c r="H38" s="25"/>
      <c r="I38" s="25"/>
      <c r="J38" s="32">
        <v>500</v>
      </c>
      <c r="K38" s="32"/>
      <c r="L38" s="25"/>
      <c r="M38" s="25">
        <v>0</v>
      </c>
      <c r="N38" s="25"/>
      <c r="O38" s="25"/>
    </row>
    <row r="39" spans="1:15" x14ac:dyDescent="0.25">
      <c r="B39" t="s">
        <v>135</v>
      </c>
      <c r="D39" s="32">
        <v>0</v>
      </c>
      <c r="E39" s="32"/>
      <c r="F39" s="25"/>
      <c r="G39" s="25">
        <v>0</v>
      </c>
      <c r="H39" s="25"/>
      <c r="I39" s="25"/>
      <c r="J39" s="32">
        <v>0</v>
      </c>
      <c r="K39" s="32"/>
      <c r="L39" s="25"/>
      <c r="M39" s="25">
        <v>1544</v>
      </c>
      <c r="N39" s="25"/>
      <c r="O39" s="25"/>
    </row>
    <row r="40" spans="1:15" x14ac:dyDescent="0.25">
      <c r="B40" t="s">
        <v>105</v>
      </c>
      <c r="D40" s="32">
        <v>0</v>
      </c>
      <c r="E40" s="32"/>
      <c r="F40" s="25"/>
      <c r="G40" s="25">
        <v>0</v>
      </c>
      <c r="H40" s="25"/>
      <c r="I40" s="25"/>
      <c r="J40" s="32">
        <v>0</v>
      </c>
      <c r="K40" s="32"/>
      <c r="L40" s="25"/>
      <c r="M40" s="25">
        <v>75</v>
      </c>
      <c r="N40" s="25"/>
      <c r="O40" s="25"/>
    </row>
    <row r="41" spans="1:15" x14ac:dyDescent="0.25">
      <c r="B41" t="s">
        <v>129</v>
      </c>
      <c r="D41" s="32">
        <v>1800</v>
      </c>
      <c r="E41" s="32"/>
      <c r="F41" s="25"/>
      <c r="G41" s="25">
        <v>4177</v>
      </c>
      <c r="H41" s="25"/>
      <c r="I41" s="25"/>
      <c r="J41" s="32">
        <v>0</v>
      </c>
      <c r="K41" s="32"/>
      <c r="L41" s="25"/>
      <c r="M41" s="25">
        <v>0</v>
      </c>
      <c r="N41" s="25"/>
      <c r="O41" s="25"/>
    </row>
    <row r="42" spans="1:15" x14ac:dyDescent="0.25">
      <c r="B42" t="s">
        <v>54</v>
      </c>
      <c r="D42" s="32">
        <v>100</v>
      </c>
      <c r="E42" s="32"/>
      <c r="F42" s="25"/>
      <c r="G42" s="25">
        <v>36</v>
      </c>
      <c r="H42" s="25"/>
      <c r="I42" s="25"/>
      <c r="J42" s="32">
        <v>500</v>
      </c>
      <c r="K42" s="32"/>
      <c r="L42" s="25"/>
      <c r="M42" s="25">
        <v>0</v>
      </c>
      <c r="N42" s="25"/>
      <c r="O42" s="25"/>
    </row>
    <row r="43" spans="1:15" x14ac:dyDescent="0.25">
      <c r="B43" t="s">
        <v>36</v>
      </c>
      <c r="D43" s="32">
        <v>100</v>
      </c>
      <c r="E43" s="32"/>
      <c r="F43" s="25"/>
      <c r="G43" s="25">
        <v>57</v>
      </c>
      <c r="H43" s="25"/>
      <c r="I43" s="25"/>
      <c r="J43" s="32">
        <v>300</v>
      </c>
      <c r="K43" s="32"/>
      <c r="L43" s="25"/>
      <c r="M43" s="25">
        <v>4</v>
      </c>
      <c r="N43" s="25"/>
      <c r="O43" s="25"/>
    </row>
    <row r="44" spans="1:15" x14ac:dyDescent="0.25">
      <c r="B44" t="s">
        <v>34</v>
      </c>
      <c r="D44" s="33">
        <v>100</v>
      </c>
      <c r="E44" s="32"/>
      <c r="F44" s="25"/>
      <c r="G44" s="28">
        <v>77</v>
      </c>
      <c r="H44" s="25"/>
      <c r="I44" s="25"/>
      <c r="J44" s="33">
        <v>300</v>
      </c>
      <c r="K44" s="32"/>
      <c r="L44" s="25"/>
      <c r="M44" s="28">
        <v>268</v>
      </c>
      <c r="N44" s="25"/>
      <c r="O44" s="25"/>
    </row>
    <row r="45" spans="1:15" x14ac:dyDescent="0.25">
      <c r="D45" s="32"/>
      <c r="E45" s="32">
        <f>SUM(D34:D44)</f>
        <v>12510</v>
      </c>
      <c r="F45" s="25"/>
      <c r="G45" s="25"/>
      <c r="H45" s="25">
        <f>SUM(G34:G44)</f>
        <v>14296</v>
      </c>
      <c r="I45" s="25"/>
      <c r="J45" s="32"/>
      <c r="K45" s="32">
        <f>SUM(J34:J44)</f>
        <v>10900</v>
      </c>
      <c r="L45" s="25"/>
      <c r="M45" s="25"/>
      <c r="N45" s="25">
        <f>SUM(M34:M44)</f>
        <v>9590</v>
      </c>
      <c r="O45" s="25"/>
    </row>
    <row r="46" spans="1:15" ht="15.75" x14ac:dyDescent="0.25">
      <c r="A46" s="9" t="s">
        <v>55</v>
      </c>
      <c r="D46" s="32"/>
      <c r="E46" s="32"/>
      <c r="F46" s="25"/>
      <c r="G46" s="25"/>
      <c r="H46" s="25"/>
      <c r="I46" s="25"/>
      <c r="J46" s="32"/>
      <c r="K46" s="32"/>
      <c r="L46" s="25"/>
      <c r="M46" s="25"/>
      <c r="N46" s="25"/>
      <c r="O46" s="25"/>
    </row>
    <row r="47" spans="1:15" x14ac:dyDescent="0.25">
      <c r="B47" t="s">
        <v>56</v>
      </c>
      <c r="D47" s="32">
        <v>500</v>
      </c>
      <c r="E47" s="32"/>
      <c r="F47" s="25"/>
      <c r="G47" s="25">
        <v>435</v>
      </c>
      <c r="H47" s="25"/>
      <c r="I47" s="25"/>
      <c r="J47" s="32">
        <v>500</v>
      </c>
      <c r="K47" s="32"/>
      <c r="L47" s="25"/>
      <c r="M47" s="25">
        <v>813</v>
      </c>
      <c r="N47" s="25"/>
      <c r="O47" s="25"/>
    </row>
    <row r="48" spans="1:15" x14ac:dyDescent="0.25">
      <c r="B48" t="s">
        <v>121</v>
      </c>
      <c r="D48" s="32">
        <v>300</v>
      </c>
      <c r="E48" s="32"/>
      <c r="F48" s="25"/>
      <c r="G48" s="25">
        <v>220</v>
      </c>
      <c r="H48" s="25"/>
      <c r="I48" s="25"/>
      <c r="J48" s="32">
        <v>500</v>
      </c>
      <c r="K48" s="32"/>
      <c r="L48" s="25"/>
      <c r="M48" s="25">
        <f>213+224</f>
        <v>437</v>
      </c>
      <c r="N48" s="25"/>
      <c r="O48" s="25"/>
    </row>
    <row r="49" spans="1:15" x14ac:dyDescent="0.25">
      <c r="B49" t="s">
        <v>145</v>
      </c>
      <c r="D49" s="33">
        <v>425</v>
      </c>
      <c r="E49" s="32"/>
      <c r="F49" s="25"/>
      <c r="G49" s="28">
        <v>429</v>
      </c>
      <c r="H49" s="25"/>
      <c r="I49" s="25"/>
      <c r="J49" s="33">
        <v>400</v>
      </c>
      <c r="K49" s="32"/>
      <c r="L49" s="25"/>
      <c r="M49" s="28">
        <f>385-9</f>
        <v>376</v>
      </c>
      <c r="N49" s="25"/>
      <c r="O49" s="25"/>
    </row>
    <row r="50" spans="1:15" x14ac:dyDescent="0.25">
      <c r="D50" s="32"/>
      <c r="E50" s="32">
        <f>SUM(D47:D49)</f>
        <v>1225</v>
      </c>
      <c r="F50" s="25"/>
      <c r="G50" s="25"/>
      <c r="H50" s="25">
        <f>SUM(G47:G49)</f>
        <v>1084</v>
      </c>
      <c r="I50" s="25"/>
      <c r="J50" s="32"/>
      <c r="K50" s="32">
        <f>SUM(J47:J49)</f>
        <v>1400</v>
      </c>
      <c r="L50" s="25"/>
      <c r="M50" s="25"/>
      <c r="N50" s="25">
        <f>SUM(M47:M49)</f>
        <v>1626</v>
      </c>
      <c r="O50" s="25"/>
    </row>
    <row r="51" spans="1:15" ht="15.75" x14ac:dyDescent="0.25">
      <c r="A51" s="9" t="s">
        <v>60</v>
      </c>
      <c r="D51" s="32"/>
      <c r="E51" s="34">
        <f>SUM(E24:E50)</f>
        <v>21110</v>
      </c>
      <c r="F51" s="25"/>
      <c r="G51" s="25"/>
      <c r="H51" s="35">
        <f>SUM(H32:H50)</f>
        <v>20385</v>
      </c>
      <c r="I51" s="25"/>
      <c r="J51" s="32"/>
      <c r="K51" s="34">
        <f>SUM(K24:K50)</f>
        <v>18750</v>
      </c>
      <c r="L51" s="25"/>
      <c r="M51" s="25"/>
      <c r="N51" s="35">
        <f>SUM(N24:N50)</f>
        <v>16144</v>
      </c>
      <c r="O51" s="25"/>
    </row>
    <row r="52" spans="1:15" x14ac:dyDescent="0.25">
      <c r="D52" s="32"/>
      <c r="E52" s="32"/>
      <c r="F52" s="25"/>
      <c r="G52" s="25"/>
      <c r="H52" s="25"/>
      <c r="I52" s="25"/>
      <c r="J52" s="32"/>
      <c r="K52" s="32"/>
      <c r="L52" s="25"/>
      <c r="M52" s="25"/>
      <c r="N52" s="25"/>
      <c r="O52" s="25"/>
    </row>
    <row r="53" spans="1:15" ht="15.75" thickBot="1" x14ac:dyDescent="0.3">
      <c r="A53" t="s">
        <v>61</v>
      </c>
      <c r="D53" s="32"/>
      <c r="E53" s="36">
        <f>E21-E51</f>
        <v>1625</v>
      </c>
      <c r="F53" s="25"/>
      <c r="G53" s="25"/>
      <c r="H53" s="25">
        <f>H21-H51</f>
        <v>3266</v>
      </c>
      <c r="I53" s="25"/>
      <c r="J53" s="32"/>
      <c r="K53" s="36">
        <f>K21-K51</f>
        <v>0</v>
      </c>
      <c r="L53" s="25"/>
      <c r="M53" s="25"/>
      <c r="N53" s="37">
        <f>N21-N51</f>
        <v>2548</v>
      </c>
      <c r="O53" s="25"/>
    </row>
    <row r="54" spans="1:15" ht="15.75" thickTop="1" x14ac:dyDescent="0.25">
      <c r="D54" s="32"/>
      <c r="E54" s="32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x14ac:dyDescent="0.25">
      <c r="A55">
        <v>1</v>
      </c>
      <c r="B55" t="s">
        <v>149</v>
      </c>
      <c r="D55" s="32">
        <v>2500</v>
      </c>
      <c r="E55" s="32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x14ac:dyDescent="0.25">
      <c r="A56">
        <v>2</v>
      </c>
      <c r="B56" t="s">
        <v>148</v>
      </c>
      <c r="D56" s="33">
        <v>1000</v>
      </c>
      <c r="E56" s="32" t="s">
        <v>64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x14ac:dyDescent="0.25">
      <c r="D57" s="32"/>
      <c r="E57" s="32">
        <f>SUM(D55:D56)</f>
        <v>3500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x14ac:dyDescent="0.25">
      <c r="A58">
        <v>3</v>
      </c>
      <c r="B58" t="s">
        <v>136</v>
      </c>
      <c r="D58" s="32"/>
      <c r="E58" s="32">
        <v>775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x14ac:dyDescent="0.25">
      <c r="D59" s="32"/>
      <c r="E59" s="32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x14ac:dyDescent="0.25">
      <c r="A60">
        <v>4</v>
      </c>
      <c r="B60" s="2" t="s">
        <v>146</v>
      </c>
      <c r="C60" s="2"/>
      <c r="D60" s="32"/>
      <c r="E60" s="32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x14ac:dyDescent="0.25">
      <c r="B61" t="s">
        <v>130</v>
      </c>
      <c r="D61" s="10"/>
      <c r="E61" s="32">
        <v>1210</v>
      </c>
      <c r="F61" s="25"/>
      <c r="G61" s="25"/>
      <c r="H61" s="25">
        <v>-1210</v>
      </c>
      <c r="I61" s="25"/>
      <c r="J61" s="25"/>
      <c r="K61" s="25"/>
      <c r="L61" s="25"/>
      <c r="M61" s="25"/>
      <c r="N61" s="25"/>
      <c r="O61" s="25"/>
    </row>
    <row r="62" spans="1:15" ht="14.25" customHeight="1" x14ac:dyDescent="0.25">
      <c r="A62" t="s">
        <v>64</v>
      </c>
      <c r="B62" t="s">
        <v>126</v>
      </c>
      <c r="D62" s="10"/>
      <c r="E62" s="32">
        <v>400</v>
      </c>
      <c r="H62">
        <v>-400</v>
      </c>
    </row>
    <row r="63" spans="1:15" ht="13.5" customHeight="1" x14ac:dyDescent="0.25">
      <c r="B63" t="s">
        <v>147</v>
      </c>
      <c r="D63" s="10"/>
      <c r="E63" s="32">
        <v>454</v>
      </c>
      <c r="H63">
        <v>-454</v>
      </c>
    </row>
    <row r="64" spans="1:15" ht="24" customHeight="1" thickBot="1" x14ac:dyDescent="0.3">
      <c r="D64" s="10"/>
      <c r="E64" s="41">
        <f>SUM(E61:E63)</f>
        <v>2064</v>
      </c>
      <c r="H64" s="30">
        <f>SUM(H53:H63)</f>
        <v>1202</v>
      </c>
    </row>
    <row r="65" spans="1:8" ht="24" customHeight="1" thickTop="1" x14ac:dyDescent="0.25"/>
    <row r="66" spans="1:8" ht="24" customHeight="1" x14ac:dyDescent="0.25"/>
    <row r="68" spans="1:8" ht="21" x14ac:dyDescent="0.35">
      <c r="A68" s="7" t="s">
        <v>0</v>
      </c>
      <c r="B68" s="7"/>
      <c r="C68" s="7"/>
      <c r="D68" s="7"/>
      <c r="E68" s="7"/>
    </row>
    <row r="70" spans="1:8" ht="21" x14ac:dyDescent="0.35">
      <c r="B70" s="8" t="s">
        <v>1</v>
      </c>
    </row>
    <row r="71" spans="1:8" x14ac:dyDescent="0.25">
      <c r="D71" s="38" t="s">
        <v>134</v>
      </c>
      <c r="E71">
        <v>2019</v>
      </c>
      <c r="G71" s="38" t="s">
        <v>134</v>
      </c>
      <c r="H71">
        <v>2018</v>
      </c>
    </row>
    <row r="72" spans="1:8" ht="18.75" x14ac:dyDescent="0.3">
      <c r="B72" s="3" t="s">
        <v>2</v>
      </c>
      <c r="E72" s="4" t="s">
        <v>9</v>
      </c>
      <c r="G72" s="4"/>
      <c r="H72" s="4" t="s">
        <v>9</v>
      </c>
    </row>
    <row r="73" spans="1:8" x14ac:dyDescent="0.25">
      <c r="D73" s="25"/>
      <c r="E73" s="25"/>
      <c r="F73" s="25"/>
      <c r="G73" s="25"/>
      <c r="H73" s="25"/>
    </row>
    <row r="74" spans="1:8" x14ac:dyDescent="0.25">
      <c r="B74" t="s">
        <v>13</v>
      </c>
      <c r="D74" s="25"/>
      <c r="E74" s="26" t="s">
        <v>11</v>
      </c>
      <c r="F74" s="25"/>
      <c r="G74" s="25"/>
      <c r="H74" s="26" t="s">
        <v>11</v>
      </c>
    </row>
    <row r="75" spans="1:8" x14ac:dyDescent="0.25">
      <c r="D75" s="25"/>
      <c r="E75" s="25"/>
      <c r="F75" s="25"/>
      <c r="G75" s="25"/>
      <c r="H75" s="25"/>
    </row>
    <row r="76" spans="1:8" x14ac:dyDescent="0.25">
      <c r="D76" s="25"/>
      <c r="E76" s="25"/>
      <c r="F76" s="25"/>
      <c r="G76" s="25"/>
      <c r="H76" s="25"/>
    </row>
    <row r="77" spans="1:8" x14ac:dyDescent="0.25">
      <c r="B77" t="s">
        <v>21</v>
      </c>
      <c r="D77" s="25"/>
      <c r="E77" s="25"/>
      <c r="F77" s="25"/>
      <c r="G77" s="25"/>
      <c r="H77" s="25"/>
    </row>
    <row r="78" spans="1:8" x14ac:dyDescent="0.25">
      <c r="B78" s="6" t="s">
        <v>19</v>
      </c>
      <c r="D78" s="27">
        <v>54</v>
      </c>
      <c r="E78" s="27"/>
      <c r="F78" s="27"/>
      <c r="G78" s="25">
        <v>594</v>
      </c>
      <c r="H78" s="25"/>
    </row>
    <row r="79" spans="1:8" x14ac:dyDescent="0.25">
      <c r="B79" s="6" t="s">
        <v>20</v>
      </c>
      <c r="D79" s="27">
        <v>1818</v>
      </c>
      <c r="E79" s="27"/>
      <c r="F79" s="27"/>
      <c r="G79" s="25">
        <v>3755</v>
      </c>
      <c r="H79" s="25"/>
    </row>
    <row r="80" spans="1:8" x14ac:dyDescent="0.25">
      <c r="B80" s="6" t="s">
        <v>4</v>
      </c>
      <c r="D80" s="28">
        <f>375+199</f>
        <v>574</v>
      </c>
      <c r="E80" s="25"/>
      <c r="F80" s="25"/>
      <c r="G80" s="28">
        <v>1053</v>
      </c>
      <c r="H80" s="25"/>
    </row>
    <row r="81" spans="2:8" x14ac:dyDescent="0.25">
      <c r="D81" s="25"/>
      <c r="E81" s="25">
        <f>SUM(D77:D80)</f>
        <v>2446</v>
      </c>
      <c r="F81" s="25"/>
      <c r="G81" s="25"/>
      <c r="H81" s="25">
        <f>SUM(G77:G80)</f>
        <v>5402</v>
      </c>
    </row>
    <row r="82" spans="2:8" x14ac:dyDescent="0.25">
      <c r="B82" s="2"/>
      <c r="D82" s="29"/>
      <c r="E82" s="29"/>
      <c r="F82" s="29"/>
      <c r="G82" s="29"/>
      <c r="H82" s="25"/>
    </row>
    <row r="83" spans="2:8" x14ac:dyDescent="0.25">
      <c r="B83" t="s">
        <v>6</v>
      </c>
      <c r="D83" s="25">
        <v>207</v>
      </c>
      <c r="E83" s="25"/>
      <c r="F83" s="25"/>
      <c r="G83" s="25">
        <v>2952</v>
      </c>
      <c r="H83" s="25"/>
    </row>
    <row r="84" spans="2:8" x14ac:dyDescent="0.25">
      <c r="B84" t="s">
        <v>7</v>
      </c>
      <c r="D84" s="25">
        <v>47738</v>
      </c>
      <c r="E84" s="25"/>
      <c r="F84" s="25"/>
      <c r="G84" s="25">
        <v>38017</v>
      </c>
      <c r="H84" s="25"/>
    </row>
    <row r="85" spans="2:8" x14ac:dyDescent="0.25">
      <c r="B85" t="s">
        <v>8</v>
      </c>
      <c r="D85" s="28">
        <v>135</v>
      </c>
      <c r="E85" s="25"/>
      <c r="F85" s="25"/>
      <c r="G85" s="28">
        <v>191</v>
      </c>
      <c r="H85" s="25"/>
    </row>
    <row r="86" spans="2:8" x14ac:dyDescent="0.25">
      <c r="D86" s="25"/>
      <c r="E86" s="25">
        <f>SUM(D83:D85)</f>
        <v>48080</v>
      </c>
      <c r="F86" s="25"/>
      <c r="G86" s="25"/>
      <c r="H86" s="25">
        <f>SUM(G83:G85)</f>
        <v>41160</v>
      </c>
    </row>
    <row r="87" spans="2:8" ht="15.75" thickBot="1" x14ac:dyDescent="0.3">
      <c r="D87" s="25"/>
      <c r="E87" s="30">
        <f>SUM(E75:E86)</f>
        <v>50526</v>
      </c>
      <c r="F87" s="25"/>
      <c r="G87" s="25"/>
      <c r="H87" s="30">
        <f>SUM(H75:H86)</f>
        <v>46562</v>
      </c>
    </row>
    <row r="88" spans="2:8" ht="19.5" thickTop="1" x14ac:dyDescent="0.3">
      <c r="B88" s="3" t="s">
        <v>14</v>
      </c>
      <c r="D88" s="25"/>
      <c r="E88" s="25"/>
      <c r="F88" s="25"/>
      <c r="G88" s="25"/>
      <c r="H88" s="25"/>
    </row>
    <row r="89" spans="2:8" x14ac:dyDescent="0.25">
      <c r="D89" s="25"/>
      <c r="E89" s="25"/>
      <c r="F89" s="25"/>
      <c r="G89" s="25"/>
      <c r="H89" s="25"/>
    </row>
    <row r="90" spans="2:8" x14ac:dyDescent="0.25">
      <c r="B90" t="s">
        <v>16</v>
      </c>
      <c r="D90" s="25"/>
      <c r="E90" s="25">
        <v>44848</v>
      </c>
      <c r="F90" s="25"/>
      <c r="G90" s="25"/>
      <c r="H90" s="25">
        <v>42300</v>
      </c>
    </row>
    <row r="91" spans="2:8" x14ac:dyDescent="0.25">
      <c r="B91" t="s">
        <v>17</v>
      </c>
      <c r="D91" s="25"/>
      <c r="E91" s="28">
        <f>1857+199-400-454</f>
        <v>1202</v>
      </c>
      <c r="F91" s="25"/>
      <c r="G91" s="25"/>
      <c r="H91" s="28">
        <f>1495+1053</f>
        <v>2548</v>
      </c>
    </row>
    <row r="92" spans="2:8" x14ac:dyDescent="0.25">
      <c r="D92" s="25"/>
      <c r="E92" s="25">
        <f>SUM(E90:E91)</f>
        <v>46050</v>
      </c>
      <c r="F92" s="25"/>
      <c r="G92" s="25"/>
      <c r="H92" s="25">
        <f>SUM(H90:H91)</f>
        <v>44848</v>
      </c>
    </row>
    <row r="93" spans="2:8" x14ac:dyDescent="0.25">
      <c r="B93" s="2"/>
      <c r="D93" s="29"/>
      <c r="E93" s="29"/>
      <c r="F93" s="29"/>
      <c r="G93" s="25"/>
      <c r="H93" s="25"/>
    </row>
    <row r="94" spans="2:8" x14ac:dyDescent="0.25">
      <c r="B94" s="6" t="s">
        <v>150</v>
      </c>
      <c r="D94" s="27">
        <v>777</v>
      </c>
      <c r="E94" s="27"/>
      <c r="F94" s="27"/>
      <c r="G94" s="25">
        <v>1404</v>
      </c>
      <c r="H94" s="25"/>
    </row>
    <row r="95" spans="2:8" x14ac:dyDescent="0.25">
      <c r="B95" s="6" t="s">
        <v>146</v>
      </c>
      <c r="D95" s="27">
        <f>1210+400+454</f>
        <v>2064</v>
      </c>
      <c r="E95" s="27"/>
      <c r="F95" s="27"/>
      <c r="G95" s="25">
        <v>0</v>
      </c>
      <c r="H95" s="25"/>
    </row>
    <row r="96" spans="2:8" x14ac:dyDescent="0.25">
      <c r="B96" s="6" t="s">
        <v>23</v>
      </c>
      <c r="D96" s="27">
        <v>1500</v>
      </c>
      <c r="E96" s="27"/>
      <c r="F96" s="27"/>
      <c r="G96" s="25">
        <v>0</v>
      </c>
      <c r="H96" s="25"/>
    </row>
    <row r="97" spans="2:8" x14ac:dyDescent="0.25">
      <c r="B97" s="6" t="s">
        <v>24</v>
      </c>
      <c r="D97" s="27">
        <v>96</v>
      </c>
      <c r="E97" s="27"/>
      <c r="F97" s="27"/>
      <c r="G97" s="25">
        <v>310</v>
      </c>
      <c r="H97" s="25"/>
    </row>
    <row r="98" spans="2:8" x14ac:dyDescent="0.25">
      <c r="B98" s="6" t="s">
        <v>123</v>
      </c>
      <c r="D98" s="31">
        <v>39</v>
      </c>
      <c r="G98" s="28">
        <v>0</v>
      </c>
    </row>
    <row r="99" spans="2:8" x14ac:dyDescent="0.25">
      <c r="D99" s="25"/>
      <c r="E99" s="25">
        <f>SUM(D94:D98)</f>
        <v>4476</v>
      </c>
      <c r="F99" s="25"/>
      <c r="G99" s="25"/>
      <c r="H99" s="25">
        <f>SUM(G94:G98)</f>
        <v>1714</v>
      </c>
    </row>
    <row r="100" spans="2:8" ht="15.75" thickBot="1" x14ac:dyDescent="0.3">
      <c r="D100" s="25"/>
      <c r="E100" s="30">
        <f>SUM(E92:E99)</f>
        <v>50526</v>
      </c>
      <c r="F100" s="25"/>
      <c r="G100" s="25"/>
      <c r="H100" s="30">
        <f>SUM(H92:H99)</f>
        <v>46562</v>
      </c>
    </row>
    <row r="101" spans="2:8" ht="15.75" thickTop="1" x14ac:dyDescent="0.25">
      <c r="C101" s="25"/>
      <c r="D101" s="25"/>
      <c r="E101" s="25"/>
      <c r="F101" s="25"/>
      <c r="G101" s="25"/>
    </row>
  </sheetData>
  <pageMargins left="0.7" right="0.7" top="0.75" bottom="0.75" header="0.3" footer="0.3"/>
  <pageSetup paperSize="9" orientation="portrait" horizontalDpi="300" verticalDpi="300" r:id="rId1"/>
  <rowBreaks count="2" manualBreakCount="2">
    <brk id="53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16E1-0357-494E-B2EE-97B90D8B895C}">
  <sheetPr>
    <pageSetUpPr fitToPage="1"/>
  </sheetPr>
  <dimension ref="A1:U29"/>
  <sheetViews>
    <sheetView tabSelected="1" workbookViewId="0">
      <selection sqref="A1:H29"/>
    </sheetView>
  </sheetViews>
  <sheetFormatPr defaultRowHeight="15" x14ac:dyDescent="0.25"/>
  <cols>
    <col min="1" max="1" width="2" customWidth="1"/>
    <col min="2" max="2" width="36.5703125" customWidth="1"/>
    <col min="3" max="3" width="14.5703125" customWidth="1"/>
    <col min="4" max="4" width="13" customWidth="1"/>
    <col min="5" max="5" width="2" customWidth="1"/>
    <col min="6" max="6" width="14.5703125" customWidth="1"/>
    <col min="7" max="7" width="13" customWidth="1"/>
    <col min="8" max="8" width="2.140625" customWidth="1"/>
  </cols>
  <sheetData>
    <row r="1" spans="1:21" ht="21" x14ac:dyDescent="0.35">
      <c r="A1" s="7" t="s">
        <v>0</v>
      </c>
      <c r="B1" s="7"/>
      <c r="C1" s="7"/>
      <c r="D1" s="7"/>
      <c r="E1" s="7"/>
      <c r="F1" s="7"/>
      <c r="G1" s="7"/>
      <c r="H1" s="7"/>
    </row>
    <row r="3" spans="1:21" ht="21" x14ac:dyDescent="0.35">
      <c r="A3" s="8" t="s">
        <v>1</v>
      </c>
    </row>
    <row r="4" spans="1:21" x14ac:dyDescent="0.25">
      <c r="D4" s="49">
        <v>46022</v>
      </c>
      <c r="G4" s="49">
        <v>45657</v>
      </c>
      <c r="S4" s="21"/>
    </row>
    <row r="5" spans="1:21" ht="18.75" x14ac:dyDescent="0.3">
      <c r="B5" s="3" t="s">
        <v>2</v>
      </c>
      <c r="D5" s="4" t="s">
        <v>9</v>
      </c>
      <c r="E5" s="3"/>
      <c r="G5" s="4" t="s">
        <v>9</v>
      </c>
      <c r="H5" s="3"/>
      <c r="O5" s="4"/>
      <c r="P5" s="4"/>
      <c r="Q5" s="4"/>
      <c r="R5" s="4"/>
      <c r="S5" s="23"/>
      <c r="T5" s="4"/>
      <c r="U5" s="4"/>
    </row>
    <row r="6" spans="1:21" x14ac:dyDescent="0.25">
      <c r="A6" s="2" t="s">
        <v>12</v>
      </c>
      <c r="C6" s="25"/>
      <c r="D6" s="25"/>
      <c r="F6" s="25"/>
      <c r="G6" s="25"/>
      <c r="O6" s="11"/>
      <c r="P6" s="11"/>
      <c r="Q6" s="11"/>
      <c r="R6" s="11"/>
      <c r="S6" s="21"/>
      <c r="T6" s="11"/>
      <c r="U6" s="11"/>
    </row>
    <row r="7" spans="1:21" x14ac:dyDescent="0.25">
      <c r="B7" t="s">
        <v>13</v>
      </c>
      <c r="C7" s="25"/>
      <c r="D7" s="26" t="s">
        <v>11</v>
      </c>
      <c r="F7" s="25"/>
      <c r="G7" s="26" t="s">
        <v>11</v>
      </c>
      <c r="K7" s="6"/>
      <c r="O7" s="11"/>
      <c r="P7" s="11"/>
      <c r="Q7" s="11"/>
      <c r="R7" s="11"/>
      <c r="S7" s="21"/>
      <c r="T7" s="11"/>
      <c r="U7" s="11"/>
    </row>
    <row r="8" spans="1:21" x14ac:dyDescent="0.25">
      <c r="C8" s="25"/>
      <c r="D8" s="25"/>
      <c r="F8" s="25"/>
      <c r="G8" s="25"/>
      <c r="K8" s="6"/>
      <c r="L8" s="6"/>
      <c r="O8" s="60"/>
      <c r="P8" s="11"/>
      <c r="Q8" s="11"/>
      <c r="R8" s="11"/>
      <c r="S8" s="21"/>
      <c r="T8" s="11"/>
      <c r="U8" s="11"/>
    </row>
    <row r="9" spans="1:21" x14ac:dyDescent="0.25">
      <c r="A9" s="2" t="s">
        <v>3</v>
      </c>
      <c r="C9" s="25"/>
      <c r="D9" s="25"/>
      <c r="F9" s="25"/>
      <c r="G9" s="25"/>
      <c r="K9" s="6"/>
      <c r="L9" s="6"/>
      <c r="O9" s="60"/>
      <c r="P9" s="11"/>
      <c r="Q9" s="11"/>
      <c r="R9" s="11"/>
      <c r="S9" s="21"/>
      <c r="T9" s="11"/>
      <c r="U9" s="11"/>
    </row>
    <row r="10" spans="1:21" x14ac:dyDescent="0.25">
      <c r="B10" t="s">
        <v>283</v>
      </c>
      <c r="C10" s="25">
        <v>0</v>
      </c>
      <c r="D10" s="25">
        <v>6353</v>
      </c>
      <c r="F10" s="25">
        <v>0</v>
      </c>
      <c r="G10" s="25">
        <v>335</v>
      </c>
      <c r="L10" s="6"/>
      <c r="O10" s="60"/>
      <c r="P10" s="11"/>
      <c r="Q10" s="11"/>
      <c r="R10" s="11"/>
      <c r="S10" s="21"/>
      <c r="T10" s="11"/>
      <c r="U10" s="11"/>
    </row>
    <row r="11" spans="1:21" x14ac:dyDescent="0.25">
      <c r="C11" s="25"/>
      <c r="D11" s="25"/>
      <c r="F11" s="25"/>
      <c r="G11" s="25"/>
      <c r="L11" s="6"/>
      <c r="O11" s="60"/>
      <c r="P11" s="11"/>
      <c r="Q11" s="11"/>
      <c r="R11" s="11"/>
      <c r="S11" s="21"/>
      <c r="T11" s="11"/>
      <c r="U11" s="11"/>
    </row>
    <row r="12" spans="1:21" x14ac:dyDescent="0.25">
      <c r="A12" s="2" t="s">
        <v>5</v>
      </c>
      <c r="B12" s="2"/>
      <c r="C12" s="29"/>
      <c r="D12" s="29"/>
      <c r="E12" s="2"/>
      <c r="F12" s="29"/>
      <c r="G12" s="29"/>
      <c r="H12" s="6"/>
      <c r="O12" s="60"/>
      <c r="P12" s="11"/>
      <c r="Q12" s="11"/>
      <c r="R12" s="11"/>
      <c r="S12" s="21"/>
      <c r="T12" s="11"/>
      <c r="U12" s="11"/>
    </row>
    <row r="13" spans="1:21" x14ac:dyDescent="0.25">
      <c r="B13" t="s">
        <v>6</v>
      </c>
      <c r="C13" s="25">
        <v>185</v>
      </c>
      <c r="D13" s="25"/>
      <c r="F13" s="25">
        <v>1100</v>
      </c>
      <c r="G13" s="25"/>
      <c r="O13" s="60"/>
      <c r="P13" s="11"/>
      <c r="Q13" s="11"/>
      <c r="R13" s="11"/>
      <c r="S13" s="21"/>
      <c r="T13" s="11"/>
      <c r="U13" s="11"/>
    </row>
    <row r="14" spans="1:21" x14ac:dyDescent="0.25">
      <c r="B14" t="s">
        <v>281</v>
      </c>
      <c r="C14" s="25">
        <v>40362</v>
      </c>
      <c r="D14" s="25"/>
      <c r="F14" s="25">
        <v>45484</v>
      </c>
      <c r="G14" s="25"/>
      <c r="H14" s="2"/>
      <c r="O14" s="60"/>
      <c r="P14" s="11"/>
      <c r="Q14" s="11"/>
      <c r="R14" s="11"/>
      <c r="S14" s="21"/>
      <c r="T14" s="11"/>
      <c r="U14" s="11"/>
    </row>
    <row r="15" spans="1:21" x14ac:dyDescent="0.25">
      <c r="B15" t="s">
        <v>282</v>
      </c>
      <c r="C15" s="25">
        <v>382</v>
      </c>
      <c r="D15" s="25"/>
      <c r="F15" s="25">
        <v>2410</v>
      </c>
      <c r="G15" s="25"/>
      <c r="H15" s="2"/>
      <c r="O15" s="60"/>
      <c r="P15" s="11"/>
      <c r="Q15" s="11"/>
      <c r="R15" s="11"/>
      <c r="S15" s="21"/>
      <c r="T15" s="11"/>
      <c r="U15" s="11"/>
    </row>
    <row r="16" spans="1:21" x14ac:dyDescent="0.25">
      <c r="B16" t="s">
        <v>8</v>
      </c>
      <c r="C16" s="28">
        <v>65</v>
      </c>
      <c r="D16" s="25"/>
      <c r="F16" s="28">
        <v>147</v>
      </c>
      <c r="G16" s="25"/>
      <c r="O16" s="60"/>
      <c r="P16" s="11"/>
      <c r="Q16" s="11"/>
      <c r="R16" s="11"/>
      <c r="S16" s="21"/>
      <c r="T16" s="11"/>
      <c r="U16" s="11"/>
    </row>
    <row r="17" spans="1:21" x14ac:dyDescent="0.25">
      <c r="C17" s="25"/>
      <c r="D17" s="25">
        <f>SUM(C13:C16)</f>
        <v>40994</v>
      </c>
      <c r="F17" s="25"/>
      <c r="G17" s="25">
        <f>SUM(F13:F16)</f>
        <v>49141</v>
      </c>
      <c r="O17" s="60"/>
      <c r="P17" s="11"/>
      <c r="Q17" s="11"/>
      <c r="R17" s="11"/>
      <c r="S17" s="21"/>
      <c r="T17" s="11"/>
      <c r="U17" s="11"/>
    </row>
    <row r="18" spans="1:21" ht="15.75" thickBot="1" x14ac:dyDescent="0.3">
      <c r="C18" s="25"/>
      <c r="D18" s="30">
        <f>SUM(D8:D17)</f>
        <v>47347</v>
      </c>
      <c r="F18" s="25"/>
      <c r="G18" s="30">
        <f>SUM(G8:G17)</f>
        <v>49476</v>
      </c>
      <c r="K18" s="2"/>
      <c r="O18" s="60"/>
      <c r="P18" s="11"/>
      <c r="Q18" s="11"/>
      <c r="R18" s="11"/>
      <c r="S18" s="21"/>
      <c r="T18" s="11"/>
      <c r="U18" s="11"/>
    </row>
    <row r="19" spans="1:21" ht="19.5" thickTop="1" x14ac:dyDescent="0.3">
      <c r="B19" s="3" t="s">
        <v>14</v>
      </c>
      <c r="C19" s="25"/>
      <c r="D19" s="25"/>
      <c r="E19" s="3"/>
      <c r="F19" s="25"/>
      <c r="G19" s="25"/>
      <c r="O19" s="60"/>
      <c r="P19" s="11"/>
      <c r="Q19" s="11"/>
      <c r="R19" s="11"/>
      <c r="S19" s="21"/>
      <c r="T19" s="11"/>
      <c r="U19" s="11"/>
    </row>
    <row r="20" spans="1:21" x14ac:dyDescent="0.25">
      <c r="A20" s="2" t="s">
        <v>15</v>
      </c>
      <c r="C20" s="25"/>
      <c r="D20" s="25"/>
      <c r="F20" s="25"/>
      <c r="G20" s="25"/>
      <c r="K20" s="6"/>
      <c r="L20" s="2"/>
      <c r="O20" s="60"/>
      <c r="P20" s="11"/>
      <c r="Q20" s="11"/>
      <c r="R20" s="11"/>
      <c r="S20" s="21"/>
      <c r="T20" s="11"/>
      <c r="U20" s="11"/>
    </row>
    <row r="21" spans="1:21" ht="18.75" x14ac:dyDescent="0.3">
      <c r="B21" t="s">
        <v>16</v>
      </c>
      <c r="C21" s="25"/>
      <c r="D21" s="25">
        <v>48225</v>
      </c>
      <c r="F21" s="25"/>
      <c r="G21" s="25">
        <v>46660</v>
      </c>
      <c r="H21" s="3"/>
      <c r="K21" s="6"/>
      <c r="O21" s="60"/>
      <c r="P21" s="11"/>
      <c r="Q21" s="11"/>
      <c r="R21" s="11"/>
      <c r="S21" s="21"/>
      <c r="T21" s="11"/>
      <c r="U21" s="11"/>
    </row>
    <row r="22" spans="1:21" x14ac:dyDescent="0.25">
      <c r="B22" t="s">
        <v>17</v>
      </c>
      <c r="C22" s="25"/>
      <c r="D22" s="28">
        <f>-8214+6353</f>
        <v>-1861</v>
      </c>
      <c r="F22" s="25"/>
      <c r="G22" s="28">
        <v>1565.3500000000031</v>
      </c>
      <c r="K22" s="6"/>
      <c r="L22" s="6"/>
      <c r="O22" s="60"/>
      <c r="P22" s="11"/>
      <c r="Q22" s="11"/>
      <c r="R22" s="11"/>
      <c r="S22" s="21"/>
      <c r="T22" s="11"/>
      <c r="U22" s="11"/>
    </row>
    <row r="23" spans="1:21" x14ac:dyDescent="0.25">
      <c r="C23" s="25"/>
      <c r="D23" s="25">
        <f>SUM(D21:D22)</f>
        <v>46364</v>
      </c>
      <c r="F23" s="25"/>
      <c r="G23" s="25">
        <f>SUM(G21:G22)</f>
        <v>48225.350000000006</v>
      </c>
      <c r="K23" s="6"/>
      <c r="L23" s="6"/>
      <c r="O23" s="60"/>
      <c r="P23" s="11"/>
      <c r="Q23" s="11"/>
      <c r="R23" s="11"/>
      <c r="S23" s="21"/>
      <c r="T23" s="11"/>
      <c r="U23" s="11"/>
    </row>
    <row r="24" spans="1:21" x14ac:dyDescent="0.25">
      <c r="A24" s="2" t="s">
        <v>18</v>
      </c>
      <c r="B24" s="2"/>
      <c r="C24" s="29"/>
      <c r="D24" s="29"/>
      <c r="E24" s="2"/>
      <c r="F24" s="29"/>
      <c r="G24" s="29"/>
      <c r="K24" s="6"/>
      <c r="L24" s="6"/>
      <c r="O24" s="60"/>
      <c r="P24" s="11"/>
      <c r="Q24" s="11"/>
      <c r="R24" s="11"/>
      <c r="S24" s="21"/>
      <c r="T24" s="11"/>
      <c r="U24" s="11"/>
    </row>
    <row r="25" spans="1:21" x14ac:dyDescent="0.25">
      <c r="B25" t="s">
        <v>192</v>
      </c>
      <c r="C25" s="25">
        <v>983</v>
      </c>
      <c r="D25" s="25"/>
      <c r="F25" s="25">
        <v>1190</v>
      </c>
      <c r="G25" s="25"/>
      <c r="K25" s="6"/>
      <c r="L25" s="6"/>
      <c r="O25" s="60"/>
      <c r="P25" s="11"/>
      <c r="Q25" s="11"/>
      <c r="R25" s="11"/>
      <c r="S25" s="21"/>
      <c r="T25" s="11"/>
      <c r="U25" s="11"/>
    </row>
    <row r="26" spans="1:21" x14ac:dyDescent="0.25">
      <c r="B26" t="s">
        <v>24</v>
      </c>
      <c r="C26" s="28">
        <v>0</v>
      </c>
      <c r="D26" s="25"/>
      <c r="F26" s="28">
        <v>59</v>
      </c>
      <c r="G26" s="25"/>
      <c r="O26" s="11"/>
      <c r="P26" s="11"/>
      <c r="Q26" s="11"/>
      <c r="R26" s="11"/>
      <c r="S26" s="21"/>
      <c r="T26" s="11"/>
      <c r="U26" s="11"/>
    </row>
    <row r="27" spans="1:21" x14ac:dyDescent="0.25">
      <c r="C27" s="25"/>
      <c r="D27" s="25">
        <f>SUM(C25:C26)</f>
        <v>983</v>
      </c>
      <c r="F27" s="25"/>
      <c r="G27" s="25">
        <f>SUM(F25:F26)</f>
        <v>1249</v>
      </c>
    </row>
    <row r="28" spans="1:21" ht="15.75" thickBot="1" x14ac:dyDescent="0.3">
      <c r="C28" s="25"/>
      <c r="D28" s="30">
        <f>SUM(D23:D27)</f>
        <v>47347</v>
      </c>
      <c r="F28" s="25"/>
      <c r="G28" s="30">
        <f>SUM(G23:G27)</f>
        <v>49474.350000000006</v>
      </c>
    </row>
    <row r="29" spans="1:21" ht="15.75" thickTop="1" x14ac:dyDescent="0.25"/>
  </sheetData>
  <pageMargins left="0.7" right="0.7" top="0.75" bottom="0.75" header="0.3" footer="0.3"/>
  <pageSetup paperSize="9" scale="91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757D-695C-4A55-BEE4-7B08855DB059}">
  <dimension ref="B1:O104"/>
  <sheetViews>
    <sheetView workbookViewId="0">
      <selection activeCell="A82" sqref="A1:XFD1048576"/>
    </sheetView>
  </sheetViews>
  <sheetFormatPr defaultRowHeight="15" x14ac:dyDescent="0.25"/>
  <cols>
    <col min="2" max="2" width="1.5703125" customWidth="1"/>
    <col min="5" max="5" width="24.28515625" customWidth="1"/>
    <col min="6" max="6" width="13.140625" customWidth="1"/>
    <col min="7" max="7" width="9.28515625" bestFit="1" customWidth="1"/>
    <col min="8" max="9" width="11.5703125" customWidth="1"/>
    <col min="10" max="10" width="4.42578125" style="21" customWidth="1"/>
    <col min="11" max="11" width="10.5703125" customWidth="1"/>
    <col min="12" max="12" width="10.5703125" bestFit="1" customWidth="1"/>
    <col min="13" max="13" width="3" customWidth="1"/>
    <col min="14" max="14" width="12" customWidth="1"/>
    <col min="15" max="15" width="12.7109375" customWidth="1"/>
  </cols>
  <sheetData>
    <row r="1" spans="2:15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 t="s">
        <v>63</v>
      </c>
      <c r="O1" t="s">
        <v>63</v>
      </c>
    </row>
    <row r="2" spans="2:15" x14ac:dyDescent="0.25">
      <c r="F2" s="1">
        <v>43466</v>
      </c>
      <c r="G2" s="5"/>
      <c r="H2" s="5"/>
      <c r="I2" s="5"/>
      <c r="J2" s="22"/>
      <c r="K2" s="5" t="s">
        <v>66</v>
      </c>
      <c r="L2" s="1">
        <v>43830</v>
      </c>
      <c r="N2" s="1">
        <v>43465</v>
      </c>
      <c r="O2" s="1">
        <v>43100</v>
      </c>
    </row>
    <row r="3" spans="2:15" x14ac:dyDescent="0.25">
      <c r="B3" s="2" t="s">
        <v>12</v>
      </c>
      <c r="M3" s="14" t="s">
        <v>68</v>
      </c>
    </row>
    <row r="4" spans="2:15" x14ac:dyDescent="0.25">
      <c r="C4" t="s">
        <v>13</v>
      </c>
      <c r="F4" s="4" t="s">
        <v>65</v>
      </c>
      <c r="G4" s="4"/>
      <c r="H4" s="4"/>
      <c r="I4" s="4"/>
      <c r="J4" s="23"/>
      <c r="K4" s="4"/>
      <c r="L4" s="4" t="s">
        <v>65</v>
      </c>
      <c r="M4" s="14" t="s">
        <v>68</v>
      </c>
      <c r="N4" s="4" t="s">
        <v>65</v>
      </c>
      <c r="O4" s="4" t="s">
        <v>65</v>
      </c>
    </row>
    <row r="5" spans="2:15" x14ac:dyDescent="0.25">
      <c r="B5" s="2" t="s">
        <v>3</v>
      </c>
      <c r="F5" s="11"/>
      <c r="G5" s="11"/>
      <c r="H5" s="11"/>
      <c r="I5" s="11"/>
      <c r="K5" s="11"/>
      <c r="L5" s="11"/>
      <c r="M5" s="13" t="s">
        <v>68</v>
      </c>
      <c r="N5" s="11"/>
      <c r="O5" s="11"/>
    </row>
    <row r="6" spans="2:15" x14ac:dyDescent="0.25">
      <c r="B6" s="2"/>
      <c r="C6" t="s">
        <v>109</v>
      </c>
      <c r="F6" s="11">
        <v>1053.6400000000001</v>
      </c>
      <c r="G6" s="11"/>
      <c r="H6" s="11"/>
      <c r="I6" s="11"/>
      <c r="J6" s="21">
        <v>6</v>
      </c>
      <c r="K6" s="11">
        <v>-1053.6400000000001</v>
      </c>
      <c r="L6" s="11">
        <f>SUM(F6+G6+H6+I6+K6)</f>
        <v>0</v>
      </c>
      <c r="M6" s="13" t="s">
        <v>68</v>
      </c>
      <c r="N6" s="11">
        <v>1053.6400000000001</v>
      </c>
      <c r="O6" s="11"/>
    </row>
    <row r="7" spans="2:15" x14ac:dyDescent="0.25">
      <c r="C7" t="s">
        <v>21</v>
      </c>
      <c r="F7" s="11"/>
      <c r="G7" s="11"/>
      <c r="H7" s="11"/>
      <c r="I7" s="11"/>
      <c r="K7" s="11"/>
      <c r="L7" s="11">
        <f>SUM(F7+G7+H7+I7+K7)</f>
        <v>0</v>
      </c>
      <c r="M7" s="13" t="s">
        <v>68</v>
      </c>
      <c r="N7" s="11"/>
      <c r="O7" s="11"/>
    </row>
    <row r="8" spans="2:15" x14ac:dyDescent="0.25">
      <c r="C8" s="6" t="s">
        <v>19</v>
      </c>
      <c r="F8" s="11">
        <v>594</v>
      </c>
      <c r="G8" s="11"/>
      <c r="H8" s="11"/>
      <c r="I8" s="11"/>
      <c r="J8" s="21">
        <v>5</v>
      </c>
      <c r="K8" s="11">
        <f>-594+53.94</f>
        <v>-540.05999999999995</v>
      </c>
      <c r="L8" s="11">
        <f>SUM(F8+G8+H8+I8+K8)</f>
        <v>53.940000000000055</v>
      </c>
      <c r="M8" s="13" t="s">
        <v>68</v>
      </c>
      <c r="N8" s="11">
        <v>594</v>
      </c>
      <c r="O8" s="11">
        <v>860</v>
      </c>
    </row>
    <row r="9" spans="2:15" x14ac:dyDescent="0.25">
      <c r="C9" s="6" t="s">
        <v>20</v>
      </c>
      <c r="F9" s="11">
        <v>3754.87</v>
      </c>
      <c r="G9" s="11"/>
      <c r="H9" s="11"/>
      <c r="I9" s="11"/>
      <c r="J9" s="21">
        <v>4</v>
      </c>
      <c r="K9" s="11">
        <f>-3754.87+1818.18</f>
        <v>-1936.6899999999998</v>
      </c>
      <c r="L9" s="11">
        <f t="shared" ref="L9:L29" si="0">SUM(F9+G9+H9+I9+K9)</f>
        <v>1818.18</v>
      </c>
      <c r="M9" s="13" t="s">
        <v>68</v>
      </c>
      <c r="N9" s="11">
        <v>3754.87</v>
      </c>
      <c r="O9" s="11">
        <v>0</v>
      </c>
    </row>
    <row r="10" spans="2:15" x14ac:dyDescent="0.25">
      <c r="C10" s="6" t="s">
        <v>111</v>
      </c>
      <c r="F10" s="11">
        <v>0</v>
      </c>
      <c r="G10" s="11"/>
      <c r="H10" s="11"/>
      <c r="I10" s="11"/>
      <c r="J10" s="21">
        <v>1</v>
      </c>
      <c r="K10" s="11">
        <v>375</v>
      </c>
      <c r="L10" s="11">
        <f t="shared" si="0"/>
        <v>375</v>
      </c>
      <c r="M10" s="13" t="s">
        <v>68</v>
      </c>
      <c r="N10" s="11"/>
      <c r="O10" s="11"/>
    </row>
    <row r="11" spans="2:15" x14ac:dyDescent="0.25">
      <c r="C11" s="6" t="s">
        <v>132</v>
      </c>
      <c r="F11" s="11">
        <v>0</v>
      </c>
      <c r="G11" s="11"/>
      <c r="H11" s="11"/>
      <c r="I11" s="11"/>
      <c r="J11" s="21">
        <v>7</v>
      </c>
      <c r="K11" s="11">
        <v>199</v>
      </c>
      <c r="L11" s="11">
        <f t="shared" si="0"/>
        <v>199</v>
      </c>
      <c r="M11" s="13" t="s">
        <v>68</v>
      </c>
      <c r="N11" s="11"/>
      <c r="O11" s="11"/>
    </row>
    <row r="12" spans="2:15" x14ac:dyDescent="0.25">
      <c r="C12" t="s">
        <v>100</v>
      </c>
      <c r="F12" s="11">
        <v>0</v>
      </c>
      <c r="G12" s="11"/>
      <c r="H12" s="11"/>
      <c r="I12" s="11"/>
      <c r="K12" s="11"/>
      <c r="L12" s="11">
        <f t="shared" si="0"/>
        <v>0</v>
      </c>
      <c r="M12" s="13" t="s">
        <v>68</v>
      </c>
      <c r="N12" s="11">
        <v>0</v>
      </c>
      <c r="O12" s="11">
        <v>400</v>
      </c>
    </row>
    <row r="13" spans="2:15" x14ac:dyDescent="0.25">
      <c r="B13" s="2" t="s">
        <v>5</v>
      </c>
      <c r="C13" s="2"/>
      <c r="F13" s="11">
        <v>0</v>
      </c>
      <c r="G13" s="11"/>
      <c r="H13" s="11"/>
      <c r="I13" s="11"/>
      <c r="K13" s="11"/>
      <c r="L13" s="11">
        <f t="shared" si="0"/>
        <v>0</v>
      </c>
      <c r="M13" s="13" t="s">
        <v>68</v>
      </c>
      <c r="N13" s="11">
        <v>0</v>
      </c>
      <c r="O13" s="11"/>
    </row>
    <row r="14" spans="2:15" x14ac:dyDescent="0.25">
      <c r="C14" t="s">
        <v>6</v>
      </c>
      <c r="F14" s="11">
        <v>2951.66</v>
      </c>
      <c r="G14" s="11"/>
      <c r="H14" s="11">
        <f>-2951.66+207.02</f>
        <v>-2744.64</v>
      </c>
      <c r="I14" s="11"/>
      <c r="K14" s="11"/>
      <c r="L14" s="11">
        <f t="shared" si="0"/>
        <v>207.01999999999998</v>
      </c>
      <c r="M14" s="13" t="s">
        <v>68</v>
      </c>
      <c r="N14" s="11">
        <v>2951.66</v>
      </c>
      <c r="O14" s="11">
        <v>926</v>
      </c>
    </row>
    <row r="15" spans="2:15" x14ac:dyDescent="0.25">
      <c r="C15" t="s">
        <v>7</v>
      </c>
      <c r="F15" s="11">
        <v>37000.000000000007</v>
      </c>
      <c r="G15" s="11"/>
      <c r="H15" s="11"/>
      <c r="I15" s="11">
        <v>8000</v>
      </c>
      <c r="K15" s="11"/>
      <c r="L15" s="11">
        <f t="shared" si="0"/>
        <v>45000.000000000007</v>
      </c>
      <c r="M15" s="13" t="s">
        <v>68</v>
      </c>
      <c r="N15" s="11">
        <v>37000.000000000007</v>
      </c>
      <c r="O15" s="11">
        <v>47115</v>
      </c>
    </row>
    <row r="16" spans="2:15" x14ac:dyDescent="0.25">
      <c r="C16" t="s">
        <v>77</v>
      </c>
      <c r="F16" s="11">
        <v>1016.72</v>
      </c>
      <c r="G16" s="11"/>
      <c r="H16" s="11"/>
      <c r="I16" s="11">
        <f>-1016.72+2738.01</f>
        <v>1721.2900000000002</v>
      </c>
      <c r="K16" s="11"/>
      <c r="L16" s="11">
        <f t="shared" si="0"/>
        <v>2738.01</v>
      </c>
      <c r="M16" s="13" t="s">
        <v>68</v>
      </c>
      <c r="N16" s="11">
        <v>1016.72</v>
      </c>
      <c r="O16" s="11"/>
    </row>
    <row r="17" spans="2:15" x14ac:dyDescent="0.25">
      <c r="C17" t="s">
        <v>8</v>
      </c>
      <c r="F17" s="11">
        <v>190.5</v>
      </c>
      <c r="G17" s="11">
        <v>-55.65</v>
      </c>
      <c r="H17" s="11"/>
      <c r="I17" s="11"/>
      <c r="K17" s="11"/>
      <c r="L17" s="11">
        <f t="shared" si="0"/>
        <v>134.85</v>
      </c>
      <c r="M17" s="13" t="s">
        <v>68</v>
      </c>
      <c r="N17" s="11">
        <v>190.5</v>
      </c>
      <c r="O17" s="11">
        <v>124</v>
      </c>
    </row>
    <row r="18" spans="2:15" x14ac:dyDescent="0.25">
      <c r="C18" t="s">
        <v>74</v>
      </c>
      <c r="F18" s="11">
        <v>0</v>
      </c>
      <c r="G18" s="11">
        <v>1132.5</v>
      </c>
      <c r="H18" s="11">
        <v>14350</v>
      </c>
      <c r="I18" s="11">
        <f>-5000-2995.56+-7486.94</f>
        <v>-15482.5</v>
      </c>
      <c r="K18" s="11"/>
      <c r="L18" s="11">
        <f t="shared" si="0"/>
        <v>0</v>
      </c>
      <c r="M18" s="13" t="s">
        <v>68</v>
      </c>
      <c r="N18" s="11">
        <v>0</v>
      </c>
      <c r="O18" s="11"/>
    </row>
    <row r="19" spans="2:15" x14ac:dyDescent="0.25">
      <c r="B19" s="2" t="s">
        <v>15</v>
      </c>
      <c r="F19" s="11">
        <v>0</v>
      </c>
      <c r="G19" s="11"/>
      <c r="H19" s="11"/>
      <c r="I19" s="11"/>
      <c r="K19" s="11"/>
      <c r="L19" s="11">
        <f t="shared" si="0"/>
        <v>0</v>
      </c>
      <c r="M19" s="13" t="s">
        <v>68</v>
      </c>
      <c r="N19" s="11">
        <v>0</v>
      </c>
      <c r="O19" s="11"/>
    </row>
    <row r="20" spans="2:15" x14ac:dyDescent="0.25">
      <c r="C20" t="s">
        <v>16</v>
      </c>
      <c r="F20" s="11">
        <f>-42299.43-2548.38</f>
        <v>-44847.81</v>
      </c>
      <c r="G20" s="11"/>
      <c r="H20" s="11"/>
      <c r="I20" s="11"/>
      <c r="K20" s="11"/>
      <c r="L20" s="11">
        <f t="shared" si="0"/>
        <v>-44847.81</v>
      </c>
      <c r="M20" s="13" t="s">
        <v>68</v>
      </c>
      <c r="N20" s="11">
        <v>-42299.43</v>
      </c>
      <c r="O20" s="11">
        <v>-39280</v>
      </c>
    </row>
    <row r="21" spans="2:15" x14ac:dyDescent="0.25">
      <c r="B21" s="2" t="s">
        <v>18</v>
      </c>
      <c r="C21" s="2"/>
      <c r="F21" s="11">
        <v>0</v>
      </c>
      <c r="G21" s="11"/>
      <c r="H21" s="11"/>
      <c r="I21" s="11"/>
      <c r="K21" s="11"/>
      <c r="L21" s="11">
        <f t="shared" si="0"/>
        <v>0</v>
      </c>
      <c r="M21" s="13" t="s">
        <v>68</v>
      </c>
      <c r="N21" s="11">
        <v>0</v>
      </c>
      <c r="O21" s="11"/>
    </row>
    <row r="22" spans="2:15" x14ac:dyDescent="0.25">
      <c r="C22" t="s">
        <v>22</v>
      </c>
      <c r="F22" s="11">
        <v>0</v>
      </c>
      <c r="G22" s="11"/>
      <c r="H22" s="11"/>
      <c r="I22" s="11"/>
      <c r="K22" s="11"/>
      <c r="L22" s="11">
        <f t="shared" si="0"/>
        <v>0</v>
      </c>
      <c r="M22" s="13" t="s">
        <v>68</v>
      </c>
      <c r="N22" s="11">
        <v>0</v>
      </c>
      <c r="O22" s="11"/>
    </row>
    <row r="23" spans="2:15" x14ac:dyDescent="0.25">
      <c r="C23" s="6" t="s">
        <v>118</v>
      </c>
      <c r="F23" s="11">
        <v>0</v>
      </c>
      <c r="G23" s="11"/>
      <c r="H23" s="11"/>
      <c r="I23" s="11">
        <v>-1500</v>
      </c>
      <c r="K23" s="11"/>
      <c r="L23" s="11">
        <f t="shared" si="0"/>
        <v>-1500</v>
      </c>
      <c r="M23" s="13" t="s">
        <v>68</v>
      </c>
      <c r="N23" s="11">
        <v>0</v>
      </c>
      <c r="O23" s="11">
        <v>-316</v>
      </c>
    </row>
    <row r="24" spans="2:15" x14ac:dyDescent="0.25">
      <c r="C24" s="6" t="s">
        <v>73</v>
      </c>
      <c r="F24" s="11">
        <v>0</v>
      </c>
      <c r="G24" s="11"/>
      <c r="H24" s="11">
        <v>-70</v>
      </c>
      <c r="I24" s="11"/>
      <c r="J24" s="21">
        <v>3</v>
      </c>
      <c r="K24" s="11">
        <v>70</v>
      </c>
      <c r="L24" s="11">
        <f t="shared" si="0"/>
        <v>0</v>
      </c>
      <c r="M24" s="13" t="s">
        <v>68</v>
      </c>
      <c r="N24" s="11">
        <v>0</v>
      </c>
      <c r="O24" s="11">
        <v>-5730</v>
      </c>
    </row>
    <row r="25" spans="2:15" x14ac:dyDescent="0.25">
      <c r="C25" s="6" t="s">
        <v>72</v>
      </c>
      <c r="F25" s="11">
        <v>-310</v>
      </c>
      <c r="G25" s="11"/>
      <c r="H25" s="11"/>
      <c r="I25" s="11"/>
      <c r="J25" s="21">
        <v>3</v>
      </c>
      <c r="K25" s="11">
        <v>310</v>
      </c>
      <c r="L25" s="11">
        <f t="shared" si="0"/>
        <v>0</v>
      </c>
      <c r="M25" s="13" t="s">
        <v>68</v>
      </c>
      <c r="N25" s="11">
        <v>-310</v>
      </c>
      <c r="O25" s="11"/>
    </row>
    <row r="26" spans="2:15" x14ac:dyDescent="0.25">
      <c r="C26" s="6" t="s">
        <v>112</v>
      </c>
      <c r="F26" s="11"/>
      <c r="G26" s="11"/>
      <c r="H26" s="11"/>
      <c r="I26" s="11"/>
      <c r="J26" s="21">
        <v>3</v>
      </c>
      <c r="K26" s="11">
        <v>-96</v>
      </c>
      <c r="L26" s="11">
        <f t="shared" si="0"/>
        <v>-96</v>
      </c>
      <c r="M26" s="13" t="s">
        <v>68</v>
      </c>
      <c r="N26" s="11"/>
      <c r="O26" s="11"/>
    </row>
    <row r="27" spans="2:15" x14ac:dyDescent="0.25">
      <c r="C27" s="6" t="s">
        <v>25</v>
      </c>
      <c r="E27" t="s">
        <v>94</v>
      </c>
      <c r="F27" s="11">
        <v>-1403.58</v>
      </c>
      <c r="G27" s="11"/>
      <c r="H27" s="11"/>
      <c r="I27" s="11">
        <v>627.1</v>
      </c>
      <c r="K27" s="11"/>
      <c r="L27" s="11">
        <f t="shared" si="0"/>
        <v>-776.4799999999999</v>
      </c>
      <c r="M27" s="13" t="s">
        <v>68</v>
      </c>
      <c r="N27" s="11">
        <v>-1403.58</v>
      </c>
      <c r="O27" s="11">
        <v>-954</v>
      </c>
    </row>
    <row r="28" spans="2:15" x14ac:dyDescent="0.25">
      <c r="C28" s="6" t="s">
        <v>113</v>
      </c>
      <c r="F28" s="11"/>
      <c r="G28" s="11"/>
      <c r="H28" s="11"/>
      <c r="I28" s="11">
        <v>-1210.53</v>
      </c>
      <c r="K28" s="11"/>
      <c r="L28" s="11">
        <f t="shared" si="0"/>
        <v>-1210.53</v>
      </c>
      <c r="M28" s="13" t="s">
        <v>68</v>
      </c>
      <c r="N28" s="11"/>
      <c r="O28" s="11"/>
    </row>
    <row r="29" spans="2:15" x14ac:dyDescent="0.25">
      <c r="C29" s="6" t="s">
        <v>71</v>
      </c>
      <c r="F29" s="19">
        <v>0</v>
      </c>
      <c r="G29" s="19"/>
      <c r="H29" s="19"/>
      <c r="I29" s="19"/>
      <c r="J29" s="22">
        <v>2</v>
      </c>
      <c r="K29" s="19">
        <v>-38.799999999999997</v>
      </c>
      <c r="L29" s="11">
        <f t="shared" si="0"/>
        <v>-38.799999999999997</v>
      </c>
      <c r="M29" s="13" t="s">
        <v>68</v>
      </c>
      <c r="N29" s="11">
        <v>0</v>
      </c>
      <c r="O29" s="11">
        <v>-125</v>
      </c>
    </row>
    <row r="30" spans="2:15" ht="15.75" thickBot="1" x14ac:dyDescent="0.3">
      <c r="E30" t="s">
        <v>108</v>
      </c>
      <c r="F30" s="11">
        <f>SUM(F4:F29)</f>
        <v>9.0949470177292824E-12</v>
      </c>
      <c r="G30" s="11">
        <f>SUM(G4:G29)</f>
        <v>1076.8499999999999</v>
      </c>
      <c r="H30" s="11">
        <f>SUM(H4:H29)</f>
        <v>11535.36</v>
      </c>
      <c r="I30" s="11">
        <f>SUM(I4:I29)</f>
        <v>-7844.6399999999985</v>
      </c>
      <c r="K30" s="11">
        <f>SUM(K4:K29)</f>
        <v>-2711.19</v>
      </c>
      <c r="L30" s="12">
        <f>SUM(L3:L29)</f>
        <v>2056.3800000000092</v>
      </c>
      <c r="M30" s="11"/>
      <c r="N30" s="12">
        <v>2548.3800000000065</v>
      </c>
      <c r="O30" s="12">
        <f>SUM(O4:O29)</f>
        <v>3020</v>
      </c>
    </row>
    <row r="31" spans="2:15" ht="15.75" thickTop="1" x14ac:dyDescent="0.25">
      <c r="F31" s="11"/>
      <c r="G31" s="11"/>
      <c r="H31" s="11"/>
      <c r="I31" s="11"/>
      <c r="K31" s="11"/>
      <c r="L31" s="11"/>
      <c r="M31" s="11"/>
      <c r="N31" s="11"/>
      <c r="O31" s="11"/>
    </row>
    <row r="32" spans="2:15" x14ac:dyDescent="0.25">
      <c r="F32" s="11"/>
      <c r="G32" s="11"/>
      <c r="H32" s="11"/>
      <c r="I32" s="11"/>
      <c r="K32" s="11"/>
      <c r="L32" s="11"/>
      <c r="M32" s="11"/>
      <c r="N32" s="11"/>
      <c r="O32" s="11"/>
    </row>
    <row r="33" spans="2:15" x14ac:dyDescent="0.25">
      <c r="F33" s="11"/>
      <c r="G33" s="11"/>
      <c r="H33" s="11"/>
      <c r="I33" s="11"/>
      <c r="K33" s="11"/>
      <c r="L33" s="11"/>
      <c r="M33" s="11"/>
      <c r="N33" s="11"/>
      <c r="O33" s="11"/>
    </row>
    <row r="34" spans="2:15" x14ac:dyDescent="0.25">
      <c r="F34" s="11"/>
      <c r="G34" s="11"/>
      <c r="H34" s="11"/>
      <c r="I34" s="11"/>
      <c r="K34" s="11"/>
      <c r="L34" s="11"/>
      <c r="M34" s="11"/>
      <c r="N34" s="11"/>
      <c r="O34" s="11"/>
    </row>
    <row r="35" spans="2:15" x14ac:dyDescent="0.25">
      <c r="F35" s="11"/>
      <c r="G35" s="11"/>
      <c r="H35" s="11"/>
      <c r="I35" s="11"/>
      <c r="K35" s="11"/>
      <c r="L35" s="11"/>
      <c r="M35" s="11"/>
      <c r="N35" s="11"/>
      <c r="O35" s="11"/>
    </row>
    <row r="36" spans="2:15" x14ac:dyDescent="0.25">
      <c r="F36" s="11"/>
      <c r="G36" s="11"/>
      <c r="H36" s="11"/>
      <c r="I36" s="11"/>
      <c r="K36" s="11"/>
      <c r="L36" s="11"/>
      <c r="M36" s="11"/>
      <c r="N36" s="11"/>
      <c r="O36" s="11"/>
    </row>
    <row r="37" spans="2:15" x14ac:dyDescent="0.25">
      <c r="F37" s="11"/>
      <c r="G37" s="11"/>
      <c r="H37" s="11"/>
      <c r="I37" s="11"/>
      <c r="K37" s="11"/>
      <c r="L37" s="11"/>
      <c r="M37" s="11"/>
      <c r="N37" s="11"/>
      <c r="O37" s="11"/>
    </row>
    <row r="38" spans="2:15" x14ac:dyDescent="0.25">
      <c r="F38" t="s">
        <v>62</v>
      </c>
      <c r="G38" t="s">
        <v>67</v>
      </c>
      <c r="H38" t="s">
        <v>75</v>
      </c>
      <c r="I38" t="s">
        <v>76</v>
      </c>
      <c r="L38" t="s">
        <v>63</v>
      </c>
      <c r="N38" t="s">
        <v>63</v>
      </c>
      <c r="O38" t="s">
        <v>63</v>
      </c>
    </row>
    <row r="39" spans="2:15" x14ac:dyDescent="0.25">
      <c r="F39" s="1">
        <v>43466</v>
      </c>
      <c r="G39" s="5"/>
      <c r="H39" s="5"/>
      <c r="I39" s="5"/>
      <c r="J39" s="22"/>
      <c r="K39" s="5" t="s">
        <v>66</v>
      </c>
      <c r="L39" s="1">
        <v>43830</v>
      </c>
      <c r="N39" s="1">
        <v>43465</v>
      </c>
      <c r="O39" s="1">
        <v>43100</v>
      </c>
    </row>
    <row r="40" spans="2:15" x14ac:dyDescent="0.25">
      <c r="E40" t="s">
        <v>107</v>
      </c>
      <c r="F40" s="11">
        <f>SUM(F30)</f>
        <v>9.0949470177292824E-12</v>
      </c>
      <c r="G40" s="11">
        <f>SUM(G30)</f>
        <v>1076.8499999999999</v>
      </c>
      <c r="H40" s="11">
        <f>SUM(H30)</f>
        <v>11535.36</v>
      </c>
      <c r="I40" s="11">
        <f>SUM(I30)</f>
        <v>-7844.6399999999985</v>
      </c>
      <c r="K40" s="11">
        <f>SUM(K30)</f>
        <v>-2711.19</v>
      </c>
      <c r="L40" s="11">
        <f>SUM(L30)</f>
        <v>2056.3800000000092</v>
      </c>
      <c r="M40" s="13" t="s">
        <v>68</v>
      </c>
      <c r="N40" s="11">
        <v>2548.3800000000065</v>
      </c>
      <c r="O40" s="11">
        <f>SUM(O30)</f>
        <v>3020</v>
      </c>
    </row>
    <row r="41" spans="2:15" ht="15.75" x14ac:dyDescent="0.25">
      <c r="B41" s="9" t="s">
        <v>27</v>
      </c>
      <c r="F41" s="11"/>
      <c r="G41" s="11"/>
      <c r="H41" s="11"/>
      <c r="I41" s="11"/>
      <c r="K41" s="11"/>
      <c r="L41" s="11"/>
      <c r="M41" s="13" t="s">
        <v>68</v>
      </c>
      <c r="N41" s="11"/>
      <c r="O41" s="11"/>
    </row>
    <row r="42" spans="2:15" x14ac:dyDescent="0.25">
      <c r="B42" t="s">
        <v>28</v>
      </c>
      <c r="F42" s="11"/>
      <c r="G42" s="11">
        <v>-257</v>
      </c>
      <c r="H42" s="11">
        <v>-11314.5</v>
      </c>
      <c r="I42" s="11">
        <v>-164</v>
      </c>
      <c r="J42" s="21">
        <v>3</v>
      </c>
      <c r="K42" s="11">
        <f>-70-310+96</f>
        <v>-284</v>
      </c>
      <c r="L42" s="11">
        <f t="shared" ref="L42:L59" si="1">SUM(F42+G42+H42+I42+K42)</f>
        <v>-12019.5</v>
      </c>
      <c r="M42" s="13" t="s">
        <v>68</v>
      </c>
      <c r="N42" s="11">
        <v>-11635.5</v>
      </c>
      <c r="O42" s="11">
        <v>-12082</v>
      </c>
    </row>
    <row r="43" spans="2:15" x14ac:dyDescent="0.25">
      <c r="B43" t="s">
        <v>29</v>
      </c>
      <c r="C43" t="s">
        <v>69</v>
      </c>
      <c r="F43" s="11"/>
      <c r="G43" s="11">
        <v>-748</v>
      </c>
      <c r="H43" s="11"/>
      <c r="I43" s="11">
        <v>-70.349999999999994</v>
      </c>
      <c r="K43" s="11"/>
      <c r="L43" s="11">
        <f t="shared" si="1"/>
        <v>-818.35</v>
      </c>
      <c r="M43" s="13" t="s">
        <v>68</v>
      </c>
      <c r="N43" s="11">
        <v>-780.5</v>
      </c>
      <c r="O43" s="11">
        <v>-684</v>
      </c>
    </row>
    <row r="44" spans="2:15" x14ac:dyDescent="0.25">
      <c r="B44" t="s">
        <v>70</v>
      </c>
      <c r="F44" s="11"/>
      <c r="G44" s="11">
        <v>-53.8</v>
      </c>
      <c r="H44" s="11"/>
      <c r="I44" s="11">
        <v>15</v>
      </c>
      <c r="J44" s="21">
        <v>2</v>
      </c>
      <c r="K44" s="11">
        <v>38.799999999999997</v>
      </c>
      <c r="L44" s="11">
        <f t="shared" si="1"/>
        <v>0</v>
      </c>
      <c r="M44" s="13" t="s">
        <v>68</v>
      </c>
      <c r="N44" s="11">
        <v>-20</v>
      </c>
      <c r="O44" s="11"/>
    </row>
    <row r="45" spans="2:15" x14ac:dyDescent="0.25">
      <c r="B45" t="s">
        <v>30</v>
      </c>
      <c r="F45" s="11"/>
      <c r="G45" s="11"/>
      <c r="H45" s="11"/>
      <c r="I45" s="11">
        <f>-625-500</f>
        <v>-1125</v>
      </c>
      <c r="J45" s="21">
        <v>1</v>
      </c>
      <c r="K45" s="11">
        <v>-375</v>
      </c>
      <c r="L45" s="11">
        <f t="shared" si="1"/>
        <v>-1500</v>
      </c>
      <c r="M45" s="13" t="s">
        <v>68</v>
      </c>
      <c r="N45" s="11">
        <v>-1562.5</v>
      </c>
      <c r="O45" s="11">
        <v>-1406</v>
      </c>
    </row>
    <row r="46" spans="2:15" x14ac:dyDescent="0.25">
      <c r="B46" t="s">
        <v>31</v>
      </c>
      <c r="F46" s="11"/>
      <c r="G46" s="11"/>
      <c r="H46" s="11"/>
      <c r="I46" s="11">
        <f>-350-100</f>
        <v>-450</v>
      </c>
      <c r="K46" s="11"/>
      <c r="L46" s="11">
        <f t="shared" si="1"/>
        <v>-450</v>
      </c>
      <c r="M46" s="13" t="s">
        <v>68</v>
      </c>
      <c r="N46" s="11">
        <v>-450</v>
      </c>
      <c r="O46" s="11">
        <v>-350</v>
      </c>
    </row>
    <row r="47" spans="2:15" x14ac:dyDescent="0.25">
      <c r="B47" t="s">
        <v>81</v>
      </c>
      <c r="F47" s="11"/>
      <c r="G47" s="11"/>
      <c r="H47" s="11"/>
      <c r="I47" s="11">
        <v>-454.27</v>
      </c>
      <c r="K47" s="11"/>
      <c r="L47" s="11">
        <f t="shared" si="1"/>
        <v>-454.27</v>
      </c>
      <c r="M47" s="13" t="s">
        <v>68</v>
      </c>
      <c r="N47" s="11">
        <v>-593.74</v>
      </c>
      <c r="O47" s="11">
        <v>-668</v>
      </c>
    </row>
    <row r="48" spans="2:15" x14ac:dyDescent="0.25">
      <c r="B48" t="s">
        <v>119</v>
      </c>
      <c r="F48" s="11"/>
      <c r="G48" s="11">
        <v>-43.05</v>
      </c>
      <c r="H48" s="11"/>
      <c r="I48" s="11">
        <f>-756.87-28+454.27</f>
        <v>-330.6</v>
      </c>
      <c r="K48" s="11"/>
      <c r="L48" s="11">
        <f t="shared" si="1"/>
        <v>-373.65000000000003</v>
      </c>
      <c r="M48" s="13" t="s">
        <v>68</v>
      </c>
      <c r="N48" s="11">
        <v>-237.67</v>
      </c>
      <c r="O48" s="11">
        <v>-400</v>
      </c>
    </row>
    <row r="49" spans="2:15" x14ac:dyDescent="0.25">
      <c r="B49" t="s">
        <v>115</v>
      </c>
      <c r="F49" s="11"/>
      <c r="G49" s="11"/>
      <c r="H49" s="11">
        <v>-400</v>
      </c>
      <c r="I49" s="11"/>
      <c r="K49" s="11"/>
      <c r="L49" s="11">
        <f t="shared" si="1"/>
        <v>-400</v>
      </c>
      <c r="M49" s="13" t="s">
        <v>68</v>
      </c>
      <c r="N49" s="11"/>
      <c r="O49" s="11"/>
    </row>
    <row r="50" spans="2:15" x14ac:dyDescent="0.25">
      <c r="B50" t="s">
        <v>84</v>
      </c>
      <c r="F50" s="11"/>
      <c r="G50" s="11"/>
      <c r="H50" s="11">
        <v>-30</v>
      </c>
      <c r="I50" s="11">
        <v>-150</v>
      </c>
      <c r="K50" s="11"/>
      <c r="L50" s="11">
        <f t="shared" si="1"/>
        <v>-180</v>
      </c>
      <c r="M50" s="13" t="s">
        <v>68</v>
      </c>
      <c r="N50" s="11">
        <v>-165</v>
      </c>
      <c r="O50" s="11"/>
    </row>
    <row r="51" spans="2:15" x14ac:dyDescent="0.25">
      <c r="B51" t="s">
        <v>99</v>
      </c>
      <c r="F51" s="11"/>
      <c r="G51" s="11"/>
      <c r="H51" s="11"/>
      <c r="I51" s="11"/>
      <c r="K51" s="11"/>
      <c r="L51" s="11">
        <f t="shared" si="1"/>
        <v>0</v>
      </c>
      <c r="M51" s="13" t="s">
        <v>68</v>
      </c>
      <c r="N51" s="11">
        <v>-953.69</v>
      </c>
      <c r="O51" s="11"/>
    </row>
    <row r="52" spans="2:15" x14ac:dyDescent="0.25">
      <c r="B52" t="s">
        <v>98</v>
      </c>
      <c r="F52" s="11"/>
      <c r="G52" s="11"/>
      <c r="H52" s="11"/>
      <c r="I52" s="11"/>
      <c r="K52" s="11"/>
      <c r="L52" s="11">
        <f t="shared" si="1"/>
        <v>0</v>
      </c>
      <c r="M52" s="13" t="s">
        <v>68</v>
      </c>
      <c r="N52" s="11">
        <v>-620</v>
      </c>
      <c r="O52" s="11"/>
    </row>
    <row r="53" spans="2:15" x14ac:dyDescent="0.25">
      <c r="B53" t="s">
        <v>97</v>
      </c>
      <c r="F53" s="11"/>
      <c r="G53" s="11"/>
      <c r="H53" s="11"/>
      <c r="I53" s="11"/>
      <c r="K53" s="11"/>
      <c r="L53" s="11">
        <f t="shared" si="1"/>
        <v>0</v>
      </c>
      <c r="M53" s="13" t="s">
        <v>68</v>
      </c>
      <c r="N53" s="11">
        <v>-115</v>
      </c>
      <c r="O53" s="11"/>
    </row>
    <row r="54" spans="2:15" x14ac:dyDescent="0.25">
      <c r="B54" t="s">
        <v>85</v>
      </c>
      <c r="F54" s="11"/>
      <c r="G54" s="11"/>
      <c r="H54" s="11"/>
      <c r="I54" s="11">
        <v>-4225</v>
      </c>
      <c r="K54" s="11"/>
      <c r="L54" s="11">
        <f t="shared" si="1"/>
        <v>-4225</v>
      </c>
      <c r="M54" s="13" t="s">
        <v>68</v>
      </c>
      <c r="N54" s="11">
        <v>0</v>
      </c>
      <c r="O54" s="11"/>
    </row>
    <row r="55" spans="2:15" x14ac:dyDescent="0.25">
      <c r="B55" t="s">
        <v>34</v>
      </c>
      <c r="F55" s="11"/>
      <c r="G55" s="11"/>
      <c r="H55" s="11"/>
      <c r="I55" s="11">
        <v>-488.5</v>
      </c>
      <c r="K55" s="11"/>
      <c r="L55" s="11">
        <f t="shared" si="1"/>
        <v>-488.5</v>
      </c>
      <c r="M55" s="13" t="s">
        <v>68</v>
      </c>
      <c r="N55" s="11">
        <v>-679.45</v>
      </c>
      <c r="O55" s="11">
        <v>-632</v>
      </c>
    </row>
    <row r="56" spans="2:15" x14ac:dyDescent="0.25">
      <c r="B56" t="s">
        <v>35</v>
      </c>
      <c r="F56" s="11"/>
      <c r="G56" s="11"/>
      <c r="H56" s="11"/>
      <c r="I56" s="11">
        <v>-400</v>
      </c>
      <c r="K56" s="11"/>
      <c r="L56" s="11">
        <f t="shared" si="1"/>
        <v>-400</v>
      </c>
      <c r="M56" s="13" t="s">
        <v>68</v>
      </c>
      <c r="N56" s="11">
        <v>-542.5</v>
      </c>
      <c r="O56" s="11">
        <v>-400</v>
      </c>
    </row>
    <row r="57" spans="2:15" x14ac:dyDescent="0.25">
      <c r="B57" t="s">
        <v>36</v>
      </c>
      <c r="F57" s="11"/>
      <c r="G57" s="11"/>
      <c r="H57" s="11"/>
      <c r="I57" s="11">
        <v>-500</v>
      </c>
      <c r="K57" s="11"/>
      <c r="L57" s="11">
        <f t="shared" si="1"/>
        <v>-500</v>
      </c>
      <c r="M57" s="13" t="s">
        <v>68</v>
      </c>
      <c r="N57" s="11">
        <v>-336.52</v>
      </c>
      <c r="O57" s="11">
        <v>-1256</v>
      </c>
    </row>
    <row r="58" spans="2:15" x14ac:dyDescent="0.25">
      <c r="B58" t="s">
        <v>37</v>
      </c>
      <c r="F58" s="11"/>
      <c r="G58" s="11"/>
      <c r="H58" s="11"/>
      <c r="I58" s="11"/>
      <c r="K58" s="11"/>
      <c r="L58" s="11">
        <f t="shared" si="1"/>
        <v>0</v>
      </c>
      <c r="M58" s="13" t="s">
        <v>68</v>
      </c>
      <c r="N58" s="11">
        <v>0</v>
      </c>
      <c r="O58" s="11">
        <v>-500</v>
      </c>
    </row>
    <row r="59" spans="2:15" x14ac:dyDescent="0.25">
      <c r="B59" t="s">
        <v>38</v>
      </c>
      <c r="F59" s="11"/>
      <c r="G59" s="11"/>
      <c r="H59" s="11"/>
      <c r="I59" s="11">
        <v>-4.4400000000000004</v>
      </c>
      <c r="K59" s="11"/>
      <c r="L59" s="11">
        <f t="shared" si="1"/>
        <v>-4.4400000000000004</v>
      </c>
      <c r="M59" s="13" t="s">
        <v>68</v>
      </c>
      <c r="N59" s="11">
        <v>-8.98</v>
      </c>
      <c r="O59" s="11">
        <v>0</v>
      </c>
    </row>
    <row r="60" spans="2:15" x14ac:dyDescent="0.25">
      <c r="F60" s="19"/>
      <c r="G60" s="19"/>
      <c r="H60" s="19"/>
      <c r="I60" s="19"/>
      <c r="J60" s="22"/>
      <c r="K60" s="19"/>
      <c r="L60" s="19"/>
      <c r="M60" s="20" t="s">
        <v>68</v>
      </c>
      <c r="N60" s="19"/>
      <c r="O60" s="19"/>
    </row>
    <row r="61" spans="2:15" x14ac:dyDescent="0.25">
      <c r="E61" t="s">
        <v>106</v>
      </c>
      <c r="F61" s="11">
        <f>SUM(F40:F60)</f>
        <v>9.0949470177292824E-12</v>
      </c>
      <c r="G61" s="11">
        <f>SUM(G40:G60)</f>
        <v>-25.000000000000085</v>
      </c>
      <c r="H61" s="11">
        <f>SUM(H40:H60)</f>
        <v>-209.13999999999942</v>
      </c>
      <c r="I61" s="11">
        <f>SUM(I40:I60)</f>
        <v>-16191.8</v>
      </c>
      <c r="K61" s="11">
        <f>SUM(K40:K60)</f>
        <v>-3331.39</v>
      </c>
      <c r="L61" s="11">
        <f>SUM(L40:L60)</f>
        <v>-19757.329999999991</v>
      </c>
      <c r="M61" s="13"/>
      <c r="N61" s="11">
        <v>-16152.669999999995</v>
      </c>
      <c r="O61" s="11">
        <f>SUM(O40:O60)</f>
        <v>-15358</v>
      </c>
    </row>
    <row r="62" spans="2:15" x14ac:dyDescent="0.25">
      <c r="F62" s="11"/>
      <c r="G62" s="11"/>
      <c r="H62" s="11"/>
      <c r="I62" s="11"/>
      <c r="K62" s="11"/>
      <c r="L62" s="11"/>
      <c r="M62" s="11"/>
      <c r="N62" s="11"/>
      <c r="O62" s="11"/>
    </row>
    <row r="63" spans="2:15" x14ac:dyDescent="0.25">
      <c r="F63" s="11"/>
      <c r="G63" s="11"/>
      <c r="H63" s="11"/>
      <c r="I63" s="11"/>
      <c r="K63" s="11"/>
      <c r="L63" s="11"/>
      <c r="M63" s="11"/>
      <c r="N63" s="11"/>
      <c r="O63" s="11"/>
    </row>
    <row r="64" spans="2:15" x14ac:dyDescent="0.25">
      <c r="F64" s="11"/>
      <c r="G64" s="11"/>
      <c r="H64" s="11"/>
      <c r="I64" s="11"/>
      <c r="K64" s="11"/>
      <c r="L64" s="11"/>
      <c r="M64" s="11"/>
      <c r="N64" s="11"/>
      <c r="O64" s="11"/>
    </row>
    <row r="65" spans="2:15" x14ac:dyDescent="0.25">
      <c r="F65" s="11"/>
      <c r="G65" s="11"/>
      <c r="H65" s="11"/>
      <c r="I65" s="11"/>
      <c r="K65" s="11"/>
      <c r="L65" s="11"/>
      <c r="M65" s="11"/>
      <c r="N65" s="11"/>
      <c r="O65" s="11"/>
    </row>
    <row r="66" spans="2:15" x14ac:dyDescent="0.25">
      <c r="F66" s="11"/>
      <c r="G66" s="11"/>
      <c r="H66" s="11"/>
      <c r="I66" s="11"/>
      <c r="K66" s="11"/>
      <c r="L66" s="11"/>
      <c r="M66" s="11"/>
      <c r="N66" s="11"/>
      <c r="O66" s="11"/>
    </row>
    <row r="67" spans="2:15" x14ac:dyDescent="0.25">
      <c r="F67" s="11"/>
      <c r="G67" s="11"/>
      <c r="H67" s="11"/>
      <c r="I67" s="11"/>
      <c r="K67" s="11"/>
      <c r="L67" s="11"/>
      <c r="M67" s="11"/>
      <c r="N67" s="11"/>
      <c r="O67" s="11"/>
    </row>
    <row r="68" spans="2:15" x14ac:dyDescent="0.25">
      <c r="F68" s="11"/>
      <c r="G68" s="11"/>
      <c r="H68" s="11"/>
      <c r="I68" s="11"/>
      <c r="K68" s="11"/>
      <c r="L68" s="11"/>
      <c r="M68" s="11"/>
      <c r="N68" s="11"/>
      <c r="O68" s="11"/>
    </row>
    <row r="69" spans="2:15" x14ac:dyDescent="0.25">
      <c r="F69" s="11"/>
      <c r="G69" s="11"/>
      <c r="H69" s="11"/>
      <c r="I69" s="11"/>
      <c r="K69" s="11"/>
      <c r="L69" s="11"/>
      <c r="M69" s="11"/>
      <c r="N69" s="11"/>
      <c r="O69" s="11"/>
    </row>
    <row r="70" spans="2:15" x14ac:dyDescent="0.25">
      <c r="F70" t="s">
        <v>62</v>
      </c>
      <c r="G70" t="s">
        <v>67</v>
      </c>
      <c r="H70" t="s">
        <v>75</v>
      </c>
      <c r="I70" t="s">
        <v>76</v>
      </c>
      <c r="L70" t="s">
        <v>63</v>
      </c>
      <c r="N70" t="s">
        <v>63</v>
      </c>
      <c r="O70" t="s">
        <v>63</v>
      </c>
    </row>
    <row r="71" spans="2:15" x14ac:dyDescent="0.25">
      <c r="F71" s="1">
        <v>43466</v>
      </c>
      <c r="G71" s="5"/>
      <c r="H71" s="5"/>
      <c r="I71" s="5"/>
      <c r="J71" s="22"/>
      <c r="K71" s="5" t="s">
        <v>66</v>
      </c>
      <c r="L71" s="1">
        <v>43830</v>
      </c>
      <c r="N71" s="1">
        <v>43465</v>
      </c>
      <c r="O71" s="1">
        <v>43100</v>
      </c>
    </row>
    <row r="72" spans="2:15" x14ac:dyDescent="0.25">
      <c r="E72" t="s">
        <v>107</v>
      </c>
      <c r="F72" s="11">
        <v>0</v>
      </c>
      <c r="G72" s="11">
        <f>SUM(G61)</f>
        <v>-25.000000000000085</v>
      </c>
      <c r="H72" s="11">
        <f t="shared" ref="H72:O72" si="2">SUM(H61)</f>
        <v>-209.13999999999942</v>
      </c>
      <c r="I72" s="11">
        <f t="shared" si="2"/>
        <v>-16191.8</v>
      </c>
      <c r="K72" s="11">
        <f t="shared" si="2"/>
        <v>-3331.39</v>
      </c>
      <c r="L72" s="11">
        <f t="shared" si="2"/>
        <v>-19757.329999999991</v>
      </c>
      <c r="M72" s="14" t="s">
        <v>68</v>
      </c>
      <c r="N72">
        <v>-16152.669999999995</v>
      </c>
      <c r="O72" s="11">
        <f t="shared" si="2"/>
        <v>-15358</v>
      </c>
    </row>
    <row r="73" spans="2:15" ht="18.75" x14ac:dyDescent="0.3">
      <c r="B73" s="3" t="s">
        <v>41</v>
      </c>
      <c r="F73" s="11"/>
      <c r="G73" s="11"/>
      <c r="H73" s="11"/>
      <c r="I73" s="11"/>
      <c r="K73" s="11"/>
      <c r="L73" s="11">
        <f t="shared" ref="L73:L101" si="3">SUM(F73+G73+H73+I73+K73)</f>
        <v>0</v>
      </c>
      <c r="M73" s="13" t="s">
        <v>68</v>
      </c>
      <c r="N73" s="11">
        <v>0</v>
      </c>
      <c r="O73" s="11"/>
    </row>
    <row r="74" spans="2:15" x14ac:dyDescent="0.25">
      <c r="B74" s="2" t="s">
        <v>42</v>
      </c>
      <c r="F74" s="11"/>
      <c r="G74" s="11"/>
      <c r="H74" s="11"/>
      <c r="I74" s="11"/>
      <c r="K74" s="11"/>
      <c r="L74" s="11">
        <f t="shared" si="3"/>
        <v>0</v>
      </c>
      <c r="M74" s="13" t="s">
        <v>68</v>
      </c>
      <c r="N74" s="11">
        <v>0</v>
      </c>
      <c r="O74" s="11"/>
    </row>
    <row r="75" spans="2:15" x14ac:dyDescent="0.25">
      <c r="C75" t="s">
        <v>43</v>
      </c>
      <c r="F75" s="11"/>
      <c r="G75" s="11"/>
      <c r="H75" s="11"/>
      <c r="I75" s="11">
        <f>1603.64-82.5</f>
        <v>1521.14</v>
      </c>
      <c r="J75" s="21">
        <v>7</v>
      </c>
      <c r="K75" s="11">
        <v>-199</v>
      </c>
      <c r="L75" s="11">
        <f t="shared" si="3"/>
        <v>1322.14</v>
      </c>
      <c r="M75" s="13" t="s">
        <v>68</v>
      </c>
      <c r="N75" s="11">
        <v>1360.89</v>
      </c>
      <c r="O75" s="11">
        <v>1386</v>
      </c>
    </row>
    <row r="76" spans="2:15" x14ac:dyDescent="0.25">
      <c r="C76" t="s">
        <v>80</v>
      </c>
      <c r="F76" s="11"/>
      <c r="G76" s="11"/>
      <c r="H76" s="11"/>
      <c r="I76" s="11"/>
      <c r="K76" s="11"/>
      <c r="L76" s="11">
        <f t="shared" si="3"/>
        <v>0</v>
      </c>
      <c r="M76" s="13" t="s">
        <v>68</v>
      </c>
      <c r="N76" s="11">
        <v>-156</v>
      </c>
      <c r="O76" s="11"/>
    </row>
    <row r="77" spans="2:15" x14ac:dyDescent="0.25">
      <c r="C77" t="s">
        <v>89</v>
      </c>
      <c r="F77" s="11"/>
      <c r="G77" s="11"/>
      <c r="H77" s="11"/>
      <c r="I77" s="11">
        <f>775.78-90.57-232.4</f>
        <v>452.81000000000006</v>
      </c>
      <c r="K77" s="11"/>
      <c r="L77" s="11">
        <f t="shared" si="3"/>
        <v>452.81000000000006</v>
      </c>
      <c r="M77" s="13" t="s">
        <v>68</v>
      </c>
      <c r="N77" s="11">
        <v>757.8599999999999</v>
      </c>
      <c r="O77" s="11"/>
    </row>
    <row r="78" spans="2:15" x14ac:dyDescent="0.25">
      <c r="C78" t="s">
        <v>44</v>
      </c>
      <c r="F78" s="11"/>
      <c r="G78" s="11"/>
      <c r="H78" s="11"/>
      <c r="I78" s="11">
        <f>82.5+90.57+232.4+45.62</f>
        <v>451.09000000000003</v>
      </c>
      <c r="K78" s="11"/>
      <c r="L78" s="11">
        <f t="shared" si="3"/>
        <v>451.09000000000003</v>
      </c>
      <c r="M78" s="13" t="s">
        <v>68</v>
      </c>
      <c r="N78" s="11">
        <v>123.42</v>
      </c>
      <c r="O78" s="11">
        <v>1506</v>
      </c>
    </row>
    <row r="79" spans="2:15" x14ac:dyDescent="0.25">
      <c r="C79" t="s">
        <v>45</v>
      </c>
      <c r="F79" s="11"/>
      <c r="G79" s="11"/>
      <c r="H79" s="11"/>
      <c r="I79" s="11">
        <f>527.46-45.62</f>
        <v>481.84000000000003</v>
      </c>
      <c r="K79" s="11"/>
      <c r="L79" s="11">
        <f t="shared" si="3"/>
        <v>481.84000000000003</v>
      </c>
      <c r="M79" s="13" t="s">
        <v>68</v>
      </c>
      <c r="N79" s="11">
        <v>444.06</v>
      </c>
      <c r="O79" s="11">
        <v>443</v>
      </c>
    </row>
    <row r="80" spans="2:15" x14ac:dyDescent="0.25">
      <c r="C80" t="s">
        <v>46</v>
      </c>
      <c r="F80" s="11"/>
      <c r="G80" s="11"/>
      <c r="H80" s="11"/>
      <c r="I80" s="11">
        <v>581.84</v>
      </c>
      <c r="K80" s="11"/>
      <c r="L80" s="11">
        <f t="shared" si="3"/>
        <v>581.84</v>
      </c>
      <c r="M80" s="13" t="s">
        <v>68</v>
      </c>
      <c r="N80" s="11">
        <v>501.71</v>
      </c>
      <c r="O80" s="11">
        <v>442</v>
      </c>
    </row>
    <row r="81" spans="2:15" x14ac:dyDescent="0.25">
      <c r="C81" t="s">
        <v>47</v>
      </c>
      <c r="F81" s="11"/>
      <c r="G81" s="11"/>
      <c r="H81" s="11"/>
      <c r="I81" s="11">
        <v>1088.6400000000001</v>
      </c>
      <c r="K81" s="11"/>
      <c r="L81" s="11">
        <f t="shared" si="3"/>
        <v>1088.6400000000001</v>
      </c>
      <c r="M81" s="13" t="s">
        <v>68</v>
      </c>
      <c r="N81" s="11">
        <v>1318.56</v>
      </c>
      <c r="O81" s="11">
        <v>1186</v>
      </c>
    </row>
    <row r="82" spans="2:15" x14ac:dyDescent="0.25">
      <c r="C82" t="s">
        <v>48</v>
      </c>
      <c r="F82" s="11"/>
      <c r="G82" s="11"/>
      <c r="H82" s="11"/>
      <c r="I82" s="11"/>
      <c r="K82" s="11"/>
      <c r="L82" s="11">
        <f t="shared" si="3"/>
        <v>0</v>
      </c>
      <c r="M82" s="13" t="s">
        <v>68</v>
      </c>
      <c r="N82" s="11">
        <v>0</v>
      </c>
      <c r="O82" s="11">
        <v>0</v>
      </c>
    </row>
    <row r="83" spans="2:15" x14ac:dyDescent="0.25">
      <c r="D83" t="s">
        <v>88</v>
      </c>
      <c r="F83" s="11"/>
      <c r="G83" s="11"/>
      <c r="H83" s="11"/>
      <c r="I83" s="11"/>
      <c r="K83" s="11"/>
      <c r="L83" s="11">
        <f t="shared" si="3"/>
        <v>0</v>
      </c>
      <c r="M83" s="13" t="s">
        <v>68</v>
      </c>
      <c r="N83" s="11">
        <v>188.95</v>
      </c>
      <c r="O83" s="11"/>
    </row>
    <row r="84" spans="2:15" x14ac:dyDescent="0.25">
      <c r="D84" t="s">
        <v>102</v>
      </c>
      <c r="F84" s="11"/>
      <c r="G84" s="11"/>
      <c r="H84" s="11"/>
      <c r="I84" s="11"/>
      <c r="K84" s="11"/>
      <c r="L84" s="11">
        <f t="shared" si="3"/>
        <v>0</v>
      </c>
      <c r="M84" s="13" t="s">
        <v>68</v>
      </c>
      <c r="N84" s="11">
        <v>389</v>
      </c>
      <c r="O84" s="11"/>
    </row>
    <row r="85" spans="2:15" ht="15.75" x14ac:dyDescent="0.25">
      <c r="B85" s="9" t="s">
        <v>50</v>
      </c>
      <c r="F85" s="11"/>
      <c r="G85" s="11"/>
      <c r="H85" s="11"/>
      <c r="I85" s="11"/>
      <c r="K85" s="11"/>
      <c r="L85" s="11">
        <f t="shared" si="3"/>
        <v>0</v>
      </c>
      <c r="M85" s="13" t="s">
        <v>68</v>
      </c>
      <c r="N85" s="11">
        <v>0</v>
      </c>
      <c r="O85" s="11"/>
    </row>
    <row r="86" spans="2:15" x14ac:dyDescent="0.25">
      <c r="C86" t="s">
        <v>51</v>
      </c>
      <c r="F86" s="11"/>
      <c r="G86" s="11"/>
      <c r="H86" s="11"/>
      <c r="I86" s="11">
        <f>-1053.64+1403.92+1403.92+1565.24+1565.24+136</f>
        <v>5020.68</v>
      </c>
      <c r="J86" s="21">
        <v>6</v>
      </c>
      <c r="K86" s="11">
        <v>1053.6400000000001</v>
      </c>
      <c r="L86" s="11">
        <f t="shared" si="3"/>
        <v>6074.3200000000006</v>
      </c>
      <c r="M86" s="13" t="s">
        <v>68</v>
      </c>
      <c r="N86" s="11">
        <v>5596.2999999999993</v>
      </c>
      <c r="O86" s="11">
        <v>6008</v>
      </c>
    </row>
    <row r="87" spans="2:15" x14ac:dyDescent="0.25">
      <c r="C87" t="s">
        <v>19</v>
      </c>
      <c r="F87" s="11"/>
      <c r="G87" s="11"/>
      <c r="H87" s="11"/>
      <c r="I87" s="11">
        <f>218-102.2+120+135.3+6+208.8</f>
        <v>585.90000000000009</v>
      </c>
      <c r="J87" s="21">
        <v>5</v>
      </c>
      <c r="K87" s="11">
        <v>540.05999999999995</v>
      </c>
      <c r="L87" s="11">
        <f t="shared" si="3"/>
        <v>1125.96</v>
      </c>
      <c r="M87" s="13" t="s">
        <v>68</v>
      </c>
      <c r="N87" s="11">
        <v>952.37000000000012</v>
      </c>
      <c r="O87" s="11"/>
    </row>
    <row r="88" spans="2:15" x14ac:dyDescent="0.25">
      <c r="C88" t="s">
        <v>52</v>
      </c>
      <c r="F88" s="11"/>
      <c r="G88" s="11"/>
      <c r="H88" s="11"/>
      <c r="I88" s="11">
        <v>1230.92</v>
      </c>
      <c r="K88" s="11"/>
      <c r="L88" s="11">
        <f t="shared" si="3"/>
        <v>1230.92</v>
      </c>
      <c r="M88" s="13" t="s">
        <v>68</v>
      </c>
      <c r="N88" s="11">
        <v>637.4</v>
      </c>
      <c r="O88" s="11">
        <v>1420</v>
      </c>
    </row>
    <row r="89" spans="2:15" x14ac:dyDescent="0.25">
      <c r="C89" t="s">
        <v>53</v>
      </c>
      <c r="F89" s="11"/>
      <c r="G89" s="11"/>
      <c r="H89" s="11"/>
      <c r="I89" s="11">
        <f>642.84</f>
        <v>642.84</v>
      </c>
      <c r="K89" s="11"/>
      <c r="L89" s="11">
        <f t="shared" si="3"/>
        <v>642.84</v>
      </c>
      <c r="M89" s="13" t="s">
        <v>68</v>
      </c>
      <c r="N89" s="11">
        <v>513.28</v>
      </c>
      <c r="O89" s="11">
        <v>714</v>
      </c>
    </row>
    <row r="90" spans="2:15" x14ac:dyDescent="0.25">
      <c r="C90" t="s">
        <v>87</v>
      </c>
      <c r="F90" s="11"/>
      <c r="G90" s="11"/>
      <c r="H90" s="11"/>
      <c r="I90" s="11"/>
      <c r="K90" s="11"/>
      <c r="L90" s="11">
        <f t="shared" si="3"/>
        <v>0</v>
      </c>
      <c r="M90" s="13" t="s">
        <v>68</v>
      </c>
      <c r="N90" s="11">
        <v>1544.42</v>
      </c>
      <c r="O90" s="11"/>
    </row>
    <row r="91" spans="2:15" x14ac:dyDescent="0.25">
      <c r="C91" t="s">
        <v>101</v>
      </c>
      <c r="F91" s="11"/>
      <c r="G91" s="11"/>
      <c r="H91" s="11"/>
      <c r="I91" s="11"/>
      <c r="K91" s="11"/>
      <c r="L91" s="11">
        <f t="shared" si="3"/>
        <v>0</v>
      </c>
      <c r="M91" s="13" t="s">
        <v>68</v>
      </c>
      <c r="N91" s="11">
        <v>74.42</v>
      </c>
      <c r="O91" s="11"/>
    </row>
    <row r="92" spans="2:15" x14ac:dyDescent="0.25">
      <c r="C92" t="s">
        <v>120</v>
      </c>
      <c r="F92" s="11"/>
      <c r="G92" s="11"/>
      <c r="H92" s="11"/>
      <c r="I92" s="11">
        <v>875.11</v>
      </c>
      <c r="K92" s="11"/>
      <c r="L92" s="11">
        <f t="shared" si="3"/>
        <v>875.11</v>
      </c>
      <c r="M92" s="13" t="s">
        <v>68</v>
      </c>
      <c r="N92" s="11"/>
      <c r="O92" s="11"/>
    </row>
    <row r="93" spans="2:15" x14ac:dyDescent="0.25">
      <c r="C93" t="s">
        <v>54</v>
      </c>
      <c r="F93" s="11"/>
      <c r="G93" s="11"/>
      <c r="H93" s="11"/>
      <c r="I93" s="11">
        <v>35.78</v>
      </c>
      <c r="K93" s="11"/>
      <c r="L93" s="11">
        <f t="shared" si="3"/>
        <v>35.78</v>
      </c>
      <c r="M93" s="13" t="s">
        <v>68</v>
      </c>
      <c r="N93" s="11">
        <v>0</v>
      </c>
      <c r="O93" s="11">
        <v>87</v>
      </c>
    </row>
    <row r="94" spans="2:15" x14ac:dyDescent="0.25">
      <c r="C94" t="s">
        <v>36</v>
      </c>
      <c r="F94" s="11"/>
      <c r="G94" s="11"/>
      <c r="H94" s="11"/>
      <c r="I94" s="11">
        <v>56.89</v>
      </c>
      <c r="K94" s="11"/>
      <c r="L94" s="11">
        <f t="shared" si="3"/>
        <v>56.89</v>
      </c>
      <c r="M94" s="13" t="s">
        <v>68</v>
      </c>
      <c r="N94" s="11">
        <v>3.6</v>
      </c>
      <c r="O94" s="11">
        <v>1110</v>
      </c>
    </row>
    <row r="95" spans="2:15" x14ac:dyDescent="0.25">
      <c r="C95" t="s">
        <v>34</v>
      </c>
      <c r="F95" s="11"/>
      <c r="G95" s="11"/>
      <c r="H95" s="11"/>
      <c r="I95" s="11">
        <v>77.31</v>
      </c>
      <c r="K95" s="11"/>
      <c r="L95" s="11">
        <f t="shared" si="3"/>
        <v>77.31</v>
      </c>
      <c r="M95" s="13" t="s">
        <v>68</v>
      </c>
      <c r="N95" s="11">
        <v>267.99</v>
      </c>
      <c r="O95" s="11">
        <v>258</v>
      </c>
    </row>
    <row r="96" spans="2:15" x14ac:dyDescent="0.25">
      <c r="C96" t="s">
        <v>86</v>
      </c>
      <c r="F96" s="11"/>
      <c r="G96" s="11"/>
      <c r="H96" s="11"/>
      <c r="I96" s="11">
        <v>2240.0100000000002</v>
      </c>
      <c r="J96" s="21">
        <v>4</v>
      </c>
      <c r="K96" s="11">
        <v>1936.69</v>
      </c>
      <c r="L96" s="11">
        <f t="shared" si="3"/>
        <v>4176.7000000000007</v>
      </c>
      <c r="M96" s="13" t="s">
        <v>68</v>
      </c>
      <c r="N96" s="11">
        <v>0</v>
      </c>
      <c r="O96" s="11"/>
    </row>
    <row r="97" spans="2:15" ht="15.75" x14ac:dyDescent="0.25">
      <c r="B97" s="9" t="s">
        <v>55</v>
      </c>
      <c r="F97" s="11"/>
      <c r="G97" s="11"/>
      <c r="H97" s="11"/>
      <c r="I97" s="11"/>
      <c r="K97" s="11"/>
      <c r="L97" s="11">
        <f t="shared" si="3"/>
        <v>0</v>
      </c>
      <c r="M97" s="13" t="s">
        <v>68</v>
      </c>
      <c r="N97" s="11">
        <v>0</v>
      </c>
      <c r="O97" s="11"/>
    </row>
    <row r="98" spans="2:15" x14ac:dyDescent="0.25">
      <c r="C98" t="s">
        <v>56</v>
      </c>
      <c r="F98" s="11"/>
      <c r="G98" s="11"/>
      <c r="H98" s="11"/>
      <c r="I98" s="11">
        <f>1061.99-627.1</f>
        <v>434.89</v>
      </c>
      <c r="K98" s="11"/>
      <c r="L98" s="11">
        <f t="shared" si="3"/>
        <v>434.89</v>
      </c>
      <c r="M98" s="13" t="s">
        <v>68</v>
      </c>
      <c r="N98" s="11">
        <v>813.15</v>
      </c>
      <c r="O98" s="11">
        <v>120</v>
      </c>
    </row>
    <row r="99" spans="2:15" x14ac:dyDescent="0.25">
      <c r="C99" t="s">
        <v>121</v>
      </c>
      <c r="F99" s="11"/>
      <c r="G99" s="11"/>
      <c r="H99" s="11"/>
      <c r="I99" s="11">
        <v>220.19</v>
      </c>
      <c r="K99" s="11"/>
      <c r="L99" s="11">
        <f t="shared" si="3"/>
        <v>220.19</v>
      </c>
      <c r="M99" s="13" t="s">
        <v>68</v>
      </c>
      <c r="N99" s="11">
        <f>213.13+224.1</f>
        <v>437.23</v>
      </c>
      <c r="O99" s="11">
        <f>97+199</f>
        <v>296</v>
      </c>
    </row>
    <row r="100" spans="2:15" x14ac:dyDescent="0.25">
      <c r="C100" t="s">
        <v>114</v>
      </c>
      <c r="F100" s="11"/>
      <c r="G100" s="11">
        <v>25</v>
      </c>
      <c r="H100" s="11"/>
      <c r="I100" s="11"/>
      <c r="K100" s="11"/>
      <c r="L100" s="11">
        <f t="shared" si="3"/>
        <v>25</v>
      </c>
      <c r="M100" s="13" t="s">
        <v>68</v>
      </c>
      <c r="N100" s="11"/>
      <c r="O100" s="11"/>
    </row>
    <row r="101" spans="2:15" x14ac:dyDescent="0.25">
      <c r="C101" t="s">
        <v>59</v>
      </c>
      <c r="F101" s="11"/>
      <c r="G101" s="11"/>
      <c r="H101" s="11">
        <v>209.14</v>
      </c>
      <c r="I101" s="11">
        <v>193.92</v>
      </c>
      <c r="K101" s="11"/>
      <c r="L101" s="11">
        <f t="shared" si="3"/>
        <v>403.05999999999995</v>
      </c>
      <c r="M101" s="13" t="s">
        <v>68</v>
      </c>
      <c r="N101" s="11">
        <v>384.06</v>
      </c>
      <c r="O101" s="11">
        <v>382</v>
      </c>
    </row>
    <row r="102" spans="2:15" ht="15.75" thickBot="1" x14ac:dyDescent="0.3">
      <c r="F102" s="15">
        <f>SUM(F72:F101)</f>
        <v>0</v>
      </c>
      <c r="G102" s="15">
        <f>SUM(G72:G101)</f>
        <v>-8.5265128291212022E-14</v>
      </c>
      <c r="H102" s="15">
        <f>SUM(H72:H101)</f>
        <v>5.6843418860808015E-13</v>
      </c>
      <c r="I102" s="15">
        <f>SUM(I72:I101)</f>
        <v>0</v>
      </c>
      <c r="J102" s="24"/>
      <c r="K102" s="15">
        <f>SUM(K72:K101)</f>
        <v>0</v>
      </c>
      <c r="L102" s="15">
        <f>SUM(L72:L101)</f>
        <v>1.0516032489249483E-11</v>
      </c>
      <c r="M102" s="11"/>
      <c r="N102" s="15">
        <v>3.808509063674137E-12</v>
      </c>
      <c r="O102" s="12">
        <f>SUM(O72:O101)</f>
        <v>0</v>
      </c>
    </row>
    <row r="103" spans="2:15" ht="15.75" thickTop="1" x14ac:dyDescent="0.25">
      <c r="F103" s="11"/>
      <c r="G103" s="13" t="s">
        <v>116</v>
      </c>
      <c r="H103" s="13" t="s">
        <v>116</v>
      </c>
      <c r="I103" s="13" t="s">
        <v>116</v>
      </c>
      <c r="K103" s="11"/>
      <c r="L103" s="11"/>
      <c r="M103" s="11"/>
      <c r="N103" s="11"/>
      <c r="O103" s="11"/>
    </row>
    <row r="104" spans="2:15" x14ac:dyDescent="0.25">
      <c r="G104" s="14" t="s">
        <v>117</v>
      </c>
      <c r="H104" s="14" t="s">
        <v>117</v>
      </c>
      <c r="I104" s="14" t="s">
        <v>117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E585-8F17-41AF-AB1E-3EF4FC284AAD}">
  <sheetPr>
    <pageSetUpPr fitToPage="1"/>
  </sheetPr>
  <dimension ref="B1:N100"/>
  <sheetViews>
    <sheetView workbookViewId="0">
      <selection activeCell="E45" sqref="E45"/>
    </sheetView>
  </sheetViews>
  <sheetFormatPr defaultRowHeight="15" x14ac:dyDescent="0.25"/>
  <cols>
    <col min="2" max="2" width="1.5703125" customWidth="1"/>
    <col min="5" max="5" width="24.28515625" customWidth="1"/>
    <col min="6" max="6" width="13.140625" customWidth="1"/>
    <col min="7" max="7" width="9.28515625" bestFit="1" customWidth="1"/>
    <col min="8" max="8" width="9.28515625" customWidth="1"/>
    <col min="9" max="9" width="11.5703125" customWidth="1"/>
    <col min="10" max="10" width="2.42578125" customWidth="1"/>
    <col min="11" max="11" width="10.5703125" customWidth="1"/>
    <col min="12" max="12" width="10.5703125" bestFit="1" customWidth="1"/>
    <col min="13" max="13" width="3" customWidth="1"/>
    <col min="14" max="14" width="9.85546875" bestFit="1" customWidth="1"/>
  </cols>
  <sheetData>
    <row r="1" spans="2:14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>
        <v>2017</v>
      </c>
    </row>
    <row r="2" spans="2:14" x14ac:dyDescent="0.25">
      <c r="F2" s="1">
        <v>43101</v>
      </c>
      <c r="G2" s="5"/>
      <c r="H2" s="5"/>
      <c r="I2" s="5"/>
      <c r="J2" s="5"/>
      <c r="K2" s="5" t="s">
        <v>66</v>
      </c>
      <c r="L2" s="1">
        <v>43465</v>
      </c>
      <c r="N2" s="5"/>
    </row>
    <row r="3" spans="2:14" x14ac:dyDescent="0.25">
      <c r="B3" s="2" t="s">
        <v>12</v>
      </c>
      <c r="M3" s="14" t="s">
        <v>68</v>
      </c>
    </row>
    <row r="4" spans="2:14" x14ac:dyDescent="0.25">
      <c r="C4" t="s">
        <v>13</v>
      </c>
      <c r="F4" s="4" t="s">
        <v>65</v>
      </c>
      <c r="G4" s="4"/>
      <c r="H4" s="4"/>
      <c r="I4" s="4"/>
      <c r="J4" s="4"/>
      <c r="K4" s="4"/>
      <c r="L4" s="4" t="s">
        <v>65</v>
      </c>
      <c r="M4" s="14" t="s">
        <v>68</v>
      </c>
    </row>
    <row r="5" spans="2:14" x14ac:dyDescent="0.25">
      <c r="B5" s="2" t="s">
        <v>3</v>
      </c>
      <c r="F5" s="11"/>
      <c r="G5" s="11"/>
      <c r="H5" s="11"/>
      <c r="I5" s="11"/>
      <c r="J5" s="11"/>
      <c r="K5" s="11"/>
      <c r="L5" s="11"/>
      <c r="M5" s="13" t="s">
        <v>68</v>
      </c>
      <c r="N5" s="11"/>
    </row>
    <row r="6" spans="2:14" x14ac:dyDescent="0.25">
      <c r="B6" s="2"/>
      <c r="C6" t="s">
        <v>109</v>
      </c>
      <c r="F6" s="11"/>
      <c r="G6" s="11"/>
      <c r="H6" s="11"/>
      <c r="I6" s="11"/>
      <c r="J6" s="11" t="s">
        <v>110</v>
      </c>
      <c r="K6" s="11">
        <v>1053.6400000000001</v>
      </c>
      <c r="L6" s="11">
        <v>1053.6400000000001</v>
      </c>
      <c r="M6" s="13"/>
      <c r="N6" s="11"/>
    </row>
    <row r="7" spans="2:14" x14ac:dyDescent="0.25">
      <c r="C7" t="s">
        <v>21</v>
      </c>
      <c r="F7" s="11"/>
      <c r="G7" s="11"/>
      <c r="H7" s="11"/>
      <c r="I7" s="11"/>
      <c r="J7" s="11"/>
      <c r="K7" s="11"/>
      <c r="L7" s="11"/>
      <c r="M7" s="13" t="s">
        <v>68</v>
      </c>
      <c r="N7" s="11"/>
    </row>
    <row r="8" spans="2:14" x14ac:dyDescent="0.25">
      <c r="C8" s="6" t="s">
        <v>19</v>
      </c>
      <c r="F8" s="11">
        <v>860.67</v>
      </c>
      <c r="G8" s="11"/>
      <c r="H8" s="11"/>
      <c r="I8" s="11"/>
      <c r="J8" s="11" t="s">
        <v>93</v>
      </c>
      <c r="K8" s="11">
        <v>-266.67</v>
      </c>
      <c r="L8" s="11">
        <f t="shared" ref="L8:L26" si="0">SUM(F8:K8)</f>
        <v>594</v>
      </c>
      <c r="M8" s="13" t="s">
        <v>68</v>
      </c>
      <c r="N8" s="11">
        <v>860</v>
      </c>
    </row>
    <row r="9" spans="2:14" x14ac:dyDescent="0.25">
      <c r="C9" s="6" t="s">
        <v>20</v>
      </c>
      <c r="F9" s="11">
        <v>0</v>
      </c>
      <c r="G9" s="11"/>
      <c r="H9" s="11"/>
      <c r="I9" s="11"/>
      <c r="J9" s="11" t="s">
        <v>92</v>
      </c>
      <c r="K9" s="11">
        <v>3754.87</v>
      </c>
      <c r="L9" s="11">
        <f t="shared" si="0"/>
        <v>3754.87</v>
      </c>
      <c r="M9" s="13" t="s">
        <v>68</v>
      </c>
      <c r="N9" s="11">
        <v>0</v>
      </c>
    </row>
    <row r="10" spans="2:14" x14ac:dyDescent="0.25">
      <c r="C10" t="s">
        <v>100</v>
      </c>
      <c r="F10" s="11">
        <v>400</v>
      </c>
      <c r="G10" s="11"/>
      <c r="H10" s="11"/>
      <c r="I10" s="11"/>
      <c r="J10" s="11" t="s">
        <v>79</v>
      </c>
      <c r="K10" s="11">
        <v>-400</v>
      </c>
      <c r="L10" s="11">
        <f t="shared" si="0"/>
        <v>0</v>
      </c>
      <c r="M10" s="13" t="s">
        <v>68</v>
      </c>
      <c r="N10" s="11">
        <v>400</v>
      </c>
    </row>
    <row r="11" spans="2:14" x14ac:dyDescent="0.25">
      <c r="B11" s="2" t="s">
        <v>5</v>
      </c>
      <c r="C11" s="2"/>
      <c r="F11" s="11"/>
      <c r="G11" s="11"/>
      <c r="H11" s="11"/>
      <c r="I11" s="11"/>
      <c r="J11" s="11"/>
      <c r="K11" s="11"/>
      <c r="L11" s="11">
        <f t="shared" si="0"/>
        <v>0</v>
      </c>
      <c r="M11" s="13" t="s">
        <v>68</v>
      </c>
      <c r="N11" s="11"/>
    </row>
    <row r="12" spans="2:14" x14ac:dyDescent="0.25">
      <c r="C12" t="s">
        <v>6</v>
      </c>
      <c r="F12" s="11">
        <v>925.59</v>
      </c>
      <c r="G12" s="11"/>
      <c r="H12" s="11">
        <f>2951.66-925.59</f>
        <v>2026.0699999999997</v>
      </c>
      <c r="I12" s="11"/>
      <c r="J12" s="11"/>
      <c r="K12" s="11"/>
      <c r="L12" s="11">
        <f t="shared" si="0"/>
        <v>2951.66</v>
      </c>
      <c r="M12" s="13" t="s">
        <v>68</v>
      </c>
      <c r="N12" s="11">
        <v>926</v>
      </c>
    </row>
    <row r="13" spans="2:14" x14ac:dyDescent="0.25">
      <c r="C13" t="s">
        <v>7</v>
      </c>
      <c r="F13" s="11">
        <v>45000</v>
      </c>
      <c r="G13" s="11"/>
      <c r="H13" s="11"/>
      <c r="I13" s="11">
        <v>-8008.98</v>
      </c>
      <c r="J13" s="11" t="s">
        <v>91</v>
      </c>
      <c r="K13" s="11">
        <v>8.98</v>
      </c>
      <c r="L13" s="11">
        <f t="shared" si="0"/>
        <v>37000.000000000007</v>
      </c>
      <c r="M13" s="13" t="s">
        <v>68</v>
      </c>
      <c r="N13" s="11">
        <v>47115</v>
      </c>
    </row>
    <row r="14" spans="2:14" x14ac:dyDescent="0.25">
      <c r="C14" t="s">
        <v>77</v>
      </c>
      <c r="F14" s="11">
        <v>2114.88</v>
      </c>
      <c r="G14" s="11"/>
      <c r="H14" s="11"/>
      <c r="I14" s="11">
        <v>-1098.1600000000001</v>
      </c>
      <c r="J14" s="11"/>
      <c r="K14" s="11"/>
      <c r="L14" s="11">
        <f t="shared" si="0"/>
        <v>1016.72</v>
      </c>
      <c r="M14" s="13" t="s">
        <v>68</v>
      </c>
      <c r="N14" s="11"/>
    </row>
    <row r="15" spans="2:14" x14ac:dyDescent="0.25">
      <c r="C15" t="s">
        <v>8</v>
      </c>
      <c r="F15" s="11">
        <v>124</v>
      </c>
      <c r="G15" s="11">
        <v>66.5</v>
      </c>
      <c r="H15" s="11"/>
      <c r="I15" s="11"/>
      <c r="J15" s="11"/>
      <c r="K15" s="11"/>
      <c r="L15" s="11">
        <f t="shared" si="0"/>
        <v>190.5</v>
      </c>
      <c r="M15" s="13" t="s">
        <v>68</v>
      </c>
      <c r="N15" s="11">
        <v>124</v>
      </c>
    </row>
    <row r="16" spans="2:14" x14ac:dyDescent="0.25">
      <c r="C16" t="s">
        <v>74</v>
      </c>
      <c r="F16" s="11"/>
      <c r="G16" s="11">
        <v>750</v>
      </c>
      <c r="H16" s="11">
        <f>4000-15</f>
        <v>3985</v>
      </c>
      <c r="I16" s="11">
        <v>-4735</v>
      </c>
      <c r="J16" s="11"/>
      <c r="K16" s="11"/>
      <c r="L16" s="11">
        <f t="shared" si="0"/>
        <v>0</v>
      </c>
      <c r="M16" s="13" t="s">
        <v>68</v>
      </c>
      <c r="N16" s="11"/>
    </row>
    <row r="17" spans="2:14" x14ac:dyDescent="0.25">
      <c r="B17" s="2" t="s">
        <v>15</v>
      </c>
      <c r="F17" s="11"/>
      <c r="G17" s="11"/>
      <c r="H17" s="11"/>
      <c r="I17" s="11"/>
      <c r="J17" s="11"/>
      <c r="K17" s="11"/>
      <c r="L17" s="11">
        <f t="shared" si="0"/>
        <v>0</v>
      </c>
      <c r="M17" s="13" t="s">
        <v>68</v>
      </c>
      <c r="N17" s="11"/>
    </row>
    <row r="18" spans="2:14" x14ac:dyDescent="0.25">
      <c r="C18" t="s">
        <v>16</v>
      </c>
      <c r="F18" s="11">
        <v>-42299.43</v>
      </c>
      <c r="G18" s="11"/>
      <c r="H18" s="11"/>
      <c r="I18" s="11"/>
      <c r="J18" s="11"/>
      <c r="K18" s="11"/>
      <c r="L18" s="11">
        <f t="shared" si="0"/>
        <v>-42299.43</v>
      </c>
      <c r="M18" s="13" t="s">
        <v>68</v>
      </c>
      <c r="N18" s="11">
        <v>-39280</v>
      </c>
    </row>
    <row r="19" spans="2:14" x14ac:dyDescent="0.25">
      <c r="C19" t="s">
        <v>17</v>
      </c>
      <c r="F19" s="11">
        <v>0</v>
      </c>
      <c r="G19" s="11"/>
      <c r="H19" s="11"/>
      <c r="I19" s="11"/>
      <c r="J19" s="11"/>
      <c r="K19" s="11"/>
      <c r="L19" s="11">
        <f t="shared" si="0"/>
        <v>0</v>
      </c>
      <c r="M19" s="13" t="s">
        <v>68</v>
      </c>
      <c r="N19" s="11" t="s">
        <v>64</v>
      </c>
    </row>
    <row r="20" spans="2:14" x14ac:dyDescent="0.25">
      <c r="B20" s="2" t="s">
        <v>18</v>
      </c>
      <c r="C20" s="2"/>
      <c r="F20" s="11"/>
      <c r="G20" s="11"/>
      <c r="H20" s="11"/>
      <c r="I20" s="11"/>
      <c r="J20" s="11"/>
      <c r="K20" s="11"/>
      <c r="L20" s="11">
        <f t="shared" si="0"/>
        <v>0</v>
      </c>
      <c r="M20" s="13" t="s">
        <v>68</v>
      </c>
      <c r="N20" s="11"/>
    </row>
    <row r="21" spans="2:14" x14ac:dyDescent="0.25">
      <c r="C21" t="s">
        <v>22</v>
      </c>
      <c r="F21" s="11"/>
      <c r="G21" s="11"/>
      <c r="H21" s="11"/>
      <c r="I21" s="11"/>
      <c r="J21" s="11"/>
      <c r="K21" s="11"/>
      <c r="L21" s="11">
        <f t="shared" si="0"/>
        <v>0</v>
      </c>
      <c r="M21" s="13" t="s">
        <v>68</v>
      </c>
      <c r="N21" s="11"/>
    </row>
    <row r="22" spans="2:14" x14ac:dyDescent="0.25">
      <c r="C22" s="6" t="s">
        <v>23</v>
      </c>
      <c r="F22" s="11">
        <v>-317.52</v>
      </c>
      <c r="G22" s="11"/>
      <c r="H22" s="11"/>
      <c r="I22" s="11"/>
      <c r="J22" s="11" t="s">
        <v>90</v>
      </c>
      <c r="K22" s="11">
        <v>317.52</v>
      </c>
      <c r="L22" s="11">
        <f t="shared" si="0"/>
        <v>0</v>
      </c>
      <c r="M22" s="13" t="s">
        <v>68</v>
      </c>
      <c r="N22" s="11">
        <v>-316</v>
      </c>
    </row>
    <row r="23" spans="2:14" x14ac:dyDescent="0.25">
      <c r="C23" s="6" t="s">
        <v>73</v>
      </c>
      <c r="F23" s="11">
        <v>-5729.5</v>
      </c>
      <c r="G23" s="11"/>
      <c r="H23" s="11"/>
      <c r="I23" s="11"/>
      <c r="J23" s="11" t="s">
        <v>78</v>
      </c>
      <c r="K23" s="11">
        <v>5729.5</v>
      </c>
      <c r="L23" s="11">
        <f t="shared" si="0"/>
        <v>0</v>
      </c>
      <c r="M23" s="13" t="s">
        <v>68</v>
      </c>
      <c r="N23" s="11">
        <v>-5730</v>
      </c>
    </row>
    <row r="24" spans="2:14" x14ac:dyDescent="0.25">
      <c r="C24" s="6" t="s">
        <v>72</v>
      </c>
      <c r="F24" s="11"/>
      <c r="G24" s="11"/>
      <c r="H24" s="11">
        <v>-310</v>
      </c>
      <c r="I24" s="11"/>
      <c r="J24" s="11"/>
      <c r="K24" s="11"/>
      <c r="L24" s="11">
        <f t="shared" si="0"/>
        <v>-310</v>
      </c>
      <c r="M24" s="13" t="s">
        <v>68</v>
      </c>
      <c r="N24" s="11"/>
    </row>
    <row r="25" spans="2:14" x14ac:dyDescent="0.25">
      <c r="C25" s="6" t="s">
        <v>25</v>
      </c>
      <c r="E25" t="s">
        <v>94</v>
      </c>
      <c r="F25" s="11">
        <v>-953.69</v>
      </c>
      <c r="G25" s="11"/>
      <c r="H25" s="11"/>
      <c r="I25" s="11">
        <v>-1403.58</v>
      </c>
      <c r="J25" s="11" t="s">
        <v>95</v>
      </c>
      <c r="K25" s="11">
        <v>953.69</v>
      </c>
      <c r="L25" s="11">
        <f t="shared" si="0"/>
        <v>-1403.58</v>
      </c>
      <c r="M25" s="13" t="s">
        <v>68</v>
      </c>
      <c r="N25" s="11">
        <v>-954</v>
      </c>
    </row>
    <row r="26" spans="2:14" x14ac:dyDescent="0.25">
      <c r="C26" s="6" t="s">
        <v>71</v>
      </c>
      <c r="F26" s="19">
        <v>-125</v>
      </c>
      <c r="G26" s="19">
        <v>-107.5</v>
      </c>
      <c r="H26" s="19"/>
      <c r="I26" s="19">
        <v>265</v>
      </c>
      <c r="J26" s="19" t="s">
        <v>96</v>
      </c>
      <c r="K26" s="19">
        <v>-32.5</v>
      </c>
      <c r="L26" s="11">
        <f t="shared" si="0"/>
        <v>0</v>
      </c>
      <c r="M26" s="13" t="s">
        <v>68</v>
      </c>
      <c r="N26" s="11">
        <v>-125</v>
      </c>
    </row>
    <row r="27" spans="2:14" ht="15.75" thickBot="1" x14ac:dyDescent="0.3">
      <c r="E27" t="s">
        <v>108</v>
      </c>
      <c r="F27" s="11">
        <f>SUM(F4:F26)</f>
        <v>-1.3642420526593924E-12</v>
      </c>
      <c r="G27" s="11">
        <f>SUM(G4:G26)</f>
        <v>709</v>
      </c>
      <c r="H27" s="11">
        <f>SUM(H4:H26)</f>
        <v>5701.07</v>
      </c>
      <c r="I27" s="11">
        <f>SUM(I4:I26)</f>
        <v>-14980.72</v>
      </c>
      <c r="J27" s="11"/>
      <c r="K27" s="11">
        <f>SUM(K4:K26)</f>
        <v>11119.03</v>
      </c>
      <c r="L27" s="12">
        <f>SUM(L3:L26)</f>
        <v>2548.3800000000065</v>
      </c>
      <c r="M27" s="11"/>
      <c r="N27" s="12">
        <f>SUM(N4:N26)</f>
        <v>3020</v>
      </c>
    </row>
    <row r="28" spans="2:14" ht="15.75" thickTop="1" x14ac:dyDescent="0.25">
      <c r="F28" s="11"/>
      <c r="G28" s="11"/>
      <c r="H28" s="11"/>
      <c r="I28" s="11"/>
      <c r="J28" s="11"/>
      <c r="K28" s="11"/>
      <c r="L28" s="11"/>
      <c r="M28" s="11"/>
      <c r="N28" s="11"/>
    </row>
    <row r="29" spans="2:14" x14ac:dyDescent="0.25">
      <c r="F29" s="11"/>
      <c r="G29" s="11"/>
      <c r="H29" s="11"/>
      <c r="I29" s="11"/>
      <c r="J29" s="11"/>
      <c r="K29" s="11"/>
      <c r="L29" s="11"/>
      <c r="M29" s="11"/>
      <c r="N29" s="11"/>
    </row>
    <row r="30" spans="2:14" x14ac:dyDescent="0.25">
      <c r="F30" s="11"/>
      <c r="G30" s="11"/>
      <c r="H30" s="11"/>
      <c r="I30" s="11"/>
      <c r="J30" s="11"/>
      <c r="K30" s="11"/>
      <c r="L30" s="11"/>
      <c r="M30" s="11"/>
      <c r="N30" s="11"/>
    </row>
    <row r="31" spans="2:14" x14ac:dyDescent="0.25">
      <c r="F31" s="11"/>
      <c r="G31" s="11"/>
      <c r="H31" s="11"/>
      <c r="I31" s="11"/>
      <c r="J31" s="11"/>
      <c r="K31" s="11"/>
      <c r="L31" s="11"/>
      <c r="M31" s="11"/>
      <c r="N31" s="11"/>
    </row>
    <row r="32" spans="2:14" x14ac:dyDescent="0.25">
      <c r="F32" s="11"/>
      <c r="G32" s="11"/>
      <c r="H32" s="11"/>
      <c r="I32" s="11"/>
      <c r="J32" s="11"/>
      <c r="K32" s="11"/>
      <c r="L32" s="11"/>
      <c r="M32" s="11"/>
      <c r="N32" s="11"/>
    </row>
    <row r="33" spans="2:14" x14ac:dyDescent="0.25">
      <c r="F33" s="11"/>
      <c r="G33" s="11"/>
      <c r="H33" s="11"/>
      <c r="I33" s="11"/>
      <c r="J33" s="11"/>
      <c r="K33" s="11"/>
      <c r="L33" s="11"/>
      <c r="M33" s="11"/>
      <c r="N33" s="11"/>
    </row>
    <row r="34" spans="2:14" x14ac:dyDescent="0.25"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25">
      <c r="F35" t="s">
        <v>62</v>
      </c>
      <c r="G35" t="s">
        <v>67</v>
      </c>
      <c r="H35" t="s">
        <v>75</v>
      </c>
      <c r="I35" t="s">
        <v>76</v>
      </c>
      <c r="L35" t="s">
        <v>63</v>
      </c>
      <c r="N35">
        <v>2017</v>
      </c>
    </row>
    <row r="36" spans="2:14" x14ac:dyDescent="0.25">
      <c r="F36" s="1">
        <v>43101</v>
      </c>
      <c r="G36" s="5"/>
      <c r="H36" s="5"/>
      <c r="I36" s="5"/>
      <c r="J36" s="5"/>
      <c r="K36" s="5" t="s">
        <v>66</v>
      </c>
      <c r="L36" s="1">
        <v>43465</v>
      </c>
      <c r="N36" s="5"/>
    </row>
    <row r="37" spans="2:14" x14ac:dyDescent="0.25">
      <c r="E37" t="s">
        <v>107</v>
      </c>
      <c r="F37" s="11">
        <f>SUM(F27)</f>
        <v>-1.3642420526593924E-12</v>
      </c>
      <c r="G37" s="11">
        <f>SUM(G27)</f>
        <v>709</v>
      </c>
      <c r="H37" s="11">
        <f>SUM(H27)</f>
        <v>5701.07</v>
      </c>
      <c r="I37" s="11">
        <f>SUM(I27)</f>
        <v>-14980.72</v>
      </c>
      <c r="J37" s="11"/>
      <c r="K37" s="11">
        <f>SUM(K27)</f>
        <v>11119.03</v>
      </c>
      <c r="L37" s="11">
        <f>SUM(L27)</f>
        <v>2548.3800000000065</v>
      </c>
      <c r="M37" s="11"/>
      <c r="N37" s="11">
        <f>SUM(N27)</f>
        <v>3020</v>
      </c>
    </row>
    <row r="38" spans="2:14" ht="15.75" x14ac:dyDescent="0.25">
      <c r="B38" s="9" t="s">
        <v>27</v>
      </c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25">
      <c r="B39" t="s">
        <v>28</v>
      </c>
      <c r="F39" s="11"/>
      <c r="G39" s="11">
        <v>-14</v>
      </c>
      <c r="H39" s="11">
        <v>-5892</v>
      </c>
      <c r="I39" s="11"/>
      <c r="J39" s="11" t="s">
        <v>78</v>
      </c>
      <c r="K39" s="11">
        <v>-5729.5</v>
      </c>
      <c r="L39" s="11">
        <f t="shared" ref="L39:L57" si="1">SUM(F39:K39)</f>
        <v>-11635.5</v>
      </c>
      <c r="M39" s="13" t="s">
        <v>68</v>
      </c>
      <c r="N39" s="11">
        <v>-12082</v>
      </c>
    </row>
    <row r="40" spans="2:14" x14ac:dyDescent="0.25">
      <c r="B40" t="s">
        <v>29</v>
      </c>
      <c r="C40" t="s">
        <v>69</v>
      </c>
      <c r="F40" s="11"/>
      <c r="G40" s="11">
        <v>-695</v>
      </c>
      <c r="H40" s="11"/>
      <c r="I40" s="11">
        <f>-138+15</f>
        <v>-123</v>
      </c>
      <c r="J40" s="11" t="s">
        <v>96</v>
      </c>
      <c r="K40" s="11">
        <v>37.5</v>
      </c>
      <c r="L40" s="11">
        <f t="shared" si="1"/>
        <v>-780.5</v>
      </c>
      <c r="M40" s="13" t="s">
        <v>68</v>
      </c>
      <c r="N40" s="11">
        <v>-684</v>
      </c>
    </row>
    <row r="41" spans="2:14" x14ac:dyDescent="0.25">
      <c r="B41" t="s">
        <v>70</v>
      </c>
      <c r="F41" s="11"/>
      <c r="G41" s="11">
        <v>0</v>
      </c>
      <c r="H41" s="11"/>
      <c r="I41" s="11">
        <v>-15</v>
      </c>
      <c r="J41" s="11" t="s">
        <v>96</v>
      </c>
      <c r="K41" s="11">
        <v>-5</v>
      </c>
      <c r="L41" s="11">
        <f t="shared" si="1"/>
        <v>-20</v>
      </c>
      <c r="M41" s="13" t="s">
        <v>68</v>
      </c>
      <c r="N41" s="11"/>
    </row>
    <row r="42" spans="2:14" x14ac:dyDescent="0.25">
      <c r="B42" t="s">
        <v>30</v>
      </c>
      <c r="F42" s="11"/>
      <c r="G42" s="11"/>
      <c r="H42" s="11"/>
      <c r="I42" s="11">
        <v>-1562.5</v>
      </c>
      <c r="J42" s="11"/>
      <c r="K42" s="11"/>
      <c r="L42" s="11">
        <f t="shared" si="1"/>
        <v>-1562.5</v>
      </c>
      <c r="M42" s="13" t="s">
        <v>68</v>
      </c>
      <c r="N42" s="11">
        <v>-1406</v>
      </c>
    </row>
    <row r="43" spans="2:14" x14ac:dyDescent="0.25">
      <c r="B43" t="s">
        <v>31</v>
      </c>
      <c r="F43" s="11"/>
      <c r="G43" s="11"/>
      <c r="H43" s="11"/>
      <c r="I43" s="11">
        <v>-450</v>
      </c>
      <c r="J43" s="11"/>
      <c r="K43" s="11"/>
      <c r="L43" s="11">
        <f t="shared" si="1"/>
        <v>-450</v>
      </c>
      <c r="M43" s="13" t="s">
        <v>68</v>
      </c>
      <c r="N43" s="11">
        <v>-350</v>
      </c>
    </row>
    <row r="44" spans="2:14" x14ac:dyDescent="0.25">
      <c r="B44" t="s">
        <v>81</v>
      </c>
      <c r="F44" s="11"/>
      <c r="G44" s="11"/>
      <c r="H44" s="11"/>
      <c r="I44" s="11">
        <v>-593.74</v>
      </c>
      <c r="J44" s="11"/>
      <c r="K44" s="11"/>
      <c r="L44" s="11">
        <f t="shared" si="1"/>
        <v>-593.74</v>
      </c>
      <c r="M44" s="13" t="s">
        <v>68</v>
      </c>
      <c r="N44" s="11">
        <v>-668</v>
      </c>
    </row>
    <row r="45" spans="2:14" x14ac:dyDescent="0.25">
      <c r="B45" t="s">
        <v>83</v>
      </c>
      <c r="F45" s="11"/>
      <c r="G45" s="11"/>
      <c r="H45" s="11"/>
      <c r="I45" s="11">
        <v>-237.67</v>
      </c>
      <c r="J45" s="11"/>
      <c r="K45" s="11"/>
      <c r="L45" s="11">
        <f t="shared" si="1"/>
        <v>-237.67</v>
      </c>
      <c r="M45" s="13" t="s">
        <v>68</v>
      </c>
      <c r="N45" s="11"/>
    </row>
    <row r="46" spans="2:14" x14ac:dyDescent="0.25">
      <c r="B46" t="s">
        <v>33</v>
      </c>
      <c r="F46" s="11"/>
      <c r="G46" s="11"/>
      <c r="H46" s="11"/>
      <c r="I46" s="11"/>
      <c r="J46" s="11"/>
      <c r="K46" s="11"/>
      <c r="L46" s="11">
        <f t="shared" si="1"/>
        <v>0</v>
      </c>
      <c r="M46" s="13" t="s">
        <v>68</v>
      </c>
      <c r="N46" s="11">
        <v>-400</v>
      </c>
    </row>
    <row r="47" spans="2:14" x14ac:dyDescent="0.25">
      <c r="B47" t="s">
        <v>84</v>
      </c>
      <c r="F47" s="11"/>
      <c r="G47" s="11"/>
      <c r="H47" s="11"/>
      <c r="I47" s="11">
        <v>-165</v>
      </c>
      <c r="J47" s="11"/>
      <c r="K47" s="11"/>
      <c r="L47" s="11">
        <f t="shared" si="1"/>
        <v>-165</v>
      </c>
      <c r="M47" s="13" t="s">
        <v>68</v>
      </c>
      <c r="N47" s="11"/>
    </row>
    <row r="48" spans="2:14" x14ac:dyDescent="0.25">
      <c r="B48" t="s">
        <v>99</v>
      </c>
      <c r="F48" s="11"/>
      <c r="G48" s="11"/>
      <c r="H48" s="11"/>
      <c r="I48" s="11">
        <v>0</v>
      </c>
      <c r="J48" s="11" t="s">
        <v>95</v>
      </c>
      <c r="K48" s="11">
        <v>-953.69</v>
      </c>
      <c r="L48" s="11">
        <f t="shared" si="1"/>
        <v>-953.69</v>
      </c>
      <c r="M48" s="13" t="s">
        <v>68</v>
      </c>
      <c r="N48" s="11"/>
    </row>
    <row r="49" spans="2:14" x14ac:dyDescent="0.25">
      <c r="B49" t="s">
        <v>98</v>
      </c>
      <c r="F49" s="11"/>
      <c r="G49" s="11"/>
      <c r="H49" s="11"/>
      <c r="I49" s="11">
        <v>-620</v>
      </c>
      <c r="J49" s="11"/>
      <c r="K49" s="11"/>
      <c r="L49" s="11">
        <f t="shared" si="1"/>
        <v>-620</v>
      </c>
      <c r="M49" s="13" t="s">
        <v>68</v>
      </c>
      <c r="N49" s="11"/>
    </row>
    <row r="50" spans="2:14" x14ac:dyDescent="0.25">
      <c r="B50" t="s">
        <v>97</v>
      </c>
      <c r="F50" s="11"/>
      <c r="G50" s="11"/>
      <c r="H50" s="11"/>
      <c r="I50" s="11">
        <v>-115</v>
      </c>
      <c r="J50" s="11"/>
      <c r="K50" s="11"/>
      <c r="L50" s="11">
        <f t="shared" si="1"/>
        <v>-115</v>
      </c>
      <c r="M50" s="13" t="s">
        <v>68</v>
      </c>
      <c r="N50" s="11"/>
    </row>
    <row r="51" spans="2:14" x14ac:dyDescent="0.25">
      <c r="B51" t="s">
        <v>82</v>
      </c>
      <c r="F51" s="11"/>
      <c r="G51" s="11"/>
      <c r="H51" s="11"/>
      <c r="I51" s="11">
        <v>-500</v>
      </c>
      <c r="J51" s="11" t="s">
        <v>92</v>
      </c>
      <c r="K51" s="11">
        <v>500</v>
      </c>
      <c r="L51" s="11">
        <f t="shared" si="1"/>
        <v>0</v>
      </c>
      <c r="M51" s="13" t="s">
        <v>68</v>
      </c>
      <c r="N51" s="11"/>
    </row>
    <row r="52" spans="2:14" x14ac:dyDescent="0.25">
      <c r="B52" t="s">
        <v>85</v>
      </c>
      <c r="F52" s="11"/>
      <c r="G52" s="11"/>
      <c r="H52" s="11"/>
      <c r="I52" s="11">
        <v>-12.5</v>
      </c>
      <c r="J52" s="11" t="s">
        <v>92</v>
      </c>
      <c r="K52" s="11">
        <v>12.5</v>
      </c>
      <c r="L52" s="11">
        <f t="shared" si="1"/>
        <v>0</v>
      </c>
      <c r="M52" s="13" t="s">
        <v>68</v>
      </c>
      <c r="N52" s="11"/>
    </row>
    <row r="53" spans="2:14" x14ac:dyDescent="0.25">
      <c r="B53" t="s">
        <v>34</v>
      </c>
      <c r="F53" s="11"/>
      <c r="G53" s="11"/>
      <c r="H53" s="11"/>
      <c r="I53" s="11">
        <f>-61.45-353-250-15</f>
        <v>-679.45</v>
      </c>
      <c r="J53" s="11"/>
      <c r="K53" s="11"/>
      <c r="L53" s="11">
        <f t="shared" si="1"/>
        <v>-679.45</v>
      </c>
      <c r="M53" s="13" t="s">
        <v>68</v>
      </c>
      <c r="N53" s="11">
        <v>-632</v>
      </c>
    </row>
    <row r="54" spans="2:14" x14ac:dyDescent="0.25">
      <c r="B54" t="s">
        <v>35</v>
      </c>
      <c r="F54" s="11"/>
      <c r="G54" s="11"/>
      <c r="H54" s="11"/>
      <c r="I54" s="11">
        <v>-942.5</v>
      </c>
      <c r="J54" s="11" t="s">
        <v>79</v>
      </c>
      <c r="K54" s="11">
        <v>400</v>
      </c>
      <c r="L54" s="11">
        <f t="shared" si="1"/>
        <v>-542.5</v>
      </c>
      <c r="M54" s="13" t="s">
        <v>68</v>
      </c>
      <c r="N54" s="11">
        <v>-400</v>
      </c>
    </row>
    <row r="55" spans="2:14" x14ac:dyDescent="0.25">
      <c r="B55" t="s">
        <v>36</v>
      </c>
      <c r="F55" s="11"/>
      <c r="G55" s="11"/>
      <c r="H55" s="11"/>
      <c r="I55" s="11">
        <f>-19</f>
        <v>-19</v>
      </c>
      <c r="J55" s="11" t="s">
        <v>90</v>
      </c>
      <c r="K55" s="11">
        <v>-317.52</v>
      </c>
      <c r="L55" s="11">
        <f t="shared" si="1"/>
        <v>-336.52</v>
      </c>
      <c r="M55" s="13" t="s">
        <v>68</v>
      </c>
      <c r="N55" s="11">
        <v>-1256</v>
      </c>
    </row>
    <row r="56" spans="2:14" x14ac:dyDescent="0.25">
      <c r="B56" t="s">
        <v>37</v>
      </c>
      <c r="F56" s="11"/>
      <c r="G56" s="11"/>
      <c r="H56" s="11"/>
      <c r="I56" s="11"/>
      <c r="J56" s="11"/>
      <c r="K56" s="11"/>
      <c r="L56" s="11">
        <f t="shared" si="1"/>
        <v>0</v>
      </c>
      <c r="M56" s="13" t="s">
        <v>68</v>
      </c>
      <c r="N56" s="11">
        <v>-500</v>
      </c>
    </row>
    <row r="57" spans="2:14" x14ac:dyDescent="0.25">
      <c r="B57" t="s">
        <v>38</v>
      </c>
      <c r="F57" s="11"/>
      <c r="G57" s="11"/>
      <c r="H57" s="11"/>
      <c r="I57" s="11"/>
      <c r="J57" s="11" t="s">
        <v>91</v>
      </c>
      <c r="K57" s="11">
        <f>-8.98</f>
        <v>-8.98</v>
      </c>
      <c r="L57" s="11">
        <f t="shared" si="1"/>
        <v>-8.98</v>
      </c>
      <c r="M57" s="13" t="s">
        <v>68</v>
      </c>
      <c r="N57" s="11">
        <v>0</v>
      </c>
    </row>
    <row r="58" spans="2:14" x14ac:dyDescent="0.25">
      <c r="F58" s="19"/>
      <c r="G58" s="19"/>
      <c r="H58" s="19"/>
      <c r="I58" s="19"/>
      <c r="J58" s="19"/>
      <c r="K58" s="19"/>
      <c r="L58" s="19"/>
      <c r="M58" s="20"/>
      <c r="N58" s="19"/>
    </row>
    <row r="59" spans="2:14" x14ac:dyDescent="0.25">
      <c r="E59" t="s">
        <v>106</v>
      </c>
      <c r="F59" s="11">
        <f>SUM(F37:F58)</f>
        <v>-1.3642420526593924E-12</v>
      </c>
      <c r="G59" s="11">
        <f>SUM(G37:G58)</f>
        <v>0</v>
      </c>
      <c r="H59" s="11">
        <f>SUM(H37:H58)</f>
        <v>-190.93000000000029</v>
      </c>
      <c r="I59" s="11">
        <f>SUM(I37:I58)</f>
        <v>-21016.080000000002</v>
      </c>
      <c r="J59" s="11"/>
      <c r="K59" s="11">
        <f>SUM(K37:K58)</f>
        <v>5054.34</v>
      </c>
      <c r="L59" s="11">
        <f>SUM(L37:L58)</f>
        <v>-16152.669999999995</v>
      </c>
      <c r="M59" s="11"/>
      <c r="N59" s="11">
        <f>SUM(N37:N58)</f>
        <v>-15358</v>
      </c>
    </row>
    <row r="60" spans="2:14" x14ac:dyDescent="0.25">
      <c r="F60" s="11"/>
      <c r="G60" s="11"/>
      <c r="H60" s="11"/>
      <c r="I60" s="11"/>
      <c r="J60" s="11"/>
      <c r="K60" s="11"/>
      <c r="L60" s="11"/>
      <c r="M60" s="13"/>
      <c r="N60" s="11"/>
    </row>
    <row r="61" spans="2:14" x14ac:dyDescent="0.25">
      <c r="F61" s="11"/>
      <c r="G61" s="11"/>
      <c r="H61" s="11"/>
      <c r="I61" s="11"/>
      <c r="J61" s="11"/>
      <c r="K61" s="11"/>
      <c r="L61" s="11"/>
      <c r="M61" s="13"/>
      <c r="N61" s="11"/>
    </row>
    <row r="62" spans="2:14" x14ac:dyDescent="0.25">
      <c r="F62" s="11"/>
      <c r="G62" s="11"/>
      <c r="H62" s="11"/>
      <c r="I62" s="11"/>
      <c r="J62" s="11"/>
      <c r="K62" s="11"/>
      <c r="L62" s="11"/>
      <c r="M62" s="13"/>
      <c r="N62" s="11"/>
    </row>
    <row r="63" spans="2:14" x14ac:dyDescent="0.25">
      <c r="F63" s="11"/>
      <c r="G63" s="11"/>
      <c r="H63" s="11"/>
      <c r="I63" s="11"/>
      <c r="J63" s="11"/>
      <c r="K63" s="11"/>
      <c r="L63" s="11"/>
      <c r="M63" s="13"/>
      <c r="N63" s="11"/>
    </row>
    <row r="64" spans="2:14" x14ac:dyDescent="0.25">
      <c r="F64" s="11"/>
      <c r="G64" s="11"/>
      <c r="H64" s="11"/>
      <c r="I64" s="11"/>
      <c r="J64" s="11"/>
      <c r="K64" s="11"/>
      <c r="L64" s="11"/>
      <c r="M64" s="13"/>
      <c r="N64" s="11"/>
    </row>
    <row r="65" spans="2:14" x14ac:dyDescent="0.25">
      <c r="F65" s="11"/>
      <c r="G65" s="11"/>
      <c r="H65" s="11"/>
      <c r="I65" s="11"/>
      <c r="J65" s="11"/>
      <c r="K65" s="11"/>
      <c r="L65" s="11"/>
      <c r="M65" s="13"/>
      <c r="N65" s="11"/>
    </row>
    <row r="66" spans="2:14" x14ac:dyDescent="0.25">
      <c r="F66" s="11"/>
      <c r="G66" s="11"/>
      <c r="H66" s="11"/>
      <c r="I66" s="11"/>
      <c r="J66" s="11"/>
      <c r="K66" s="11"/>
      <c r="L66" s="11"/>
      <c r="M66" s="13"/>
      <c r="N66" s="11"/>
    </row>
    <row r="67" spans="2:14" x14ac:dyDescent="0.25">
      <c r="F67" s="11"/>
      <c r="G67" s="11"/>
      <c r="H67" s="11"/>
      <c r="I67" s="11"/>
      <c r="J67" s="11"/>
      <c r="K67" s="11"/>
      <c r="L67" s="11"/>
      <c r="M67" s="13"/>
      <c r="N67" s="11"/>
    </row>
    <row r="68" spans="2:14" x14ac:dyDescent="0.25">
      <c r="F68" t="s">
        <v>62</v>
      </c>
      <c r="G68" t="s">
        <v>67</v>
      </c>
      <c r="H68" t="s">
        <v>75</v>
      </c>
      <c r="I68" t="s">
        <v>76</v>
      </c>
      <c r="L68" t="s">
        <v>63</v>
      </c>
      <c r="N68">
        <v>2017</v>
      </c>
    </row>
    <row r="69" spans="2:14" x14ac:dyDescent="0.25">
      <c r="F69" s="1">
        <v>43101</v>
      </c>
      <c r="G69" s="5"/>
      <c r="H69" s="5"/>
      <c r="I69" s="5"/>
      <c r="J69" s="5"/>
      <c r="K69" s="5" t="s">
        <v>66</v>
      </c>
      <c r="L69" s="1">
        <v>43465</v>
      </c>
      <c r="N69" s="5"/>
    </row>
    <row r="70" spans="2:14" x14ac:dyDescent="0.25">
      <c r="E70" t="s">
        <v>107</v>
      </c>
      <c r="F70" s="11">
        <v>0</v>
      </c>
      <c r="G70" s="11">
        <f>SUM(G59)</f>
        <v>0</v>
      </c>
      <c r="H70" s="11">
        <f t="shared" ref="H70:N70" si="2">SUM(H59)</f>
        <v>-190.93000000000029</v>
      </c>
      <c r="I70" s="11">
        <f t="shared" si="2"/>
        <v>-21016.080000000002</v>
      </c>
      <c r="J70" s="11"/>
      <c r="K70" s="11">
        <f t="shared" si="2"/>
        <v>5054.34</v>
      </c>
      <c r="L70" s="11">
        <f t="shared" si="2"/>
        <v>-16152.669999999995</v>
      </c>
      <c r="N70" s="11">
        <f t="shared" si="2"/>
        <v>-15358</v>
      </c>
    </row>
    <row r="71" spans="2:14" ht="18.75" x14ac:dyDescent="0.3">
      <c r="B71" s="3" t="s">
        <v>41</v>
      </c>
      <c r="F71" s="11"/>
      <c r="G71" s="11"/>
      <c r="H71" s="11"/>
      <c r="I71" s="11"/>
      <c r="J71" s="11"/>
      <c r="K71" s="11"/>
      <c r="L71" s="11">
        <f t="shared" ref="L71:L87" si="3">SUM(F71:K71)</f>
        <v>0</v>
      </c>
      <c r="M71" s="13" t="s">
        <v>68</v>
      </c>
      <c r="N71" s="11"/>
    </row>
    <row r="72" spans="2:14" x14ac:dyDescent="0.25">
      <c r="B72" s="2" t="s">
        <v>42</v>
      </c>
      <c r="F72" s="11"/>
      <c r="G72" s="11"/>
      <c r="H72" s="11"/>
      <c r="I72" s="11"/>
      <c r="J72" s="11"/>
      <c r="K72" s="11"/>
      <c r="L72" s="11">
        <f t="shared" si="3"/>
        <v>0</v>
      </c>
      <c r="M72" s="13" t="s">
        <v>68</v>
      </c>
      <c r="N72" s="11"/>
    </row>
    <row r="73" spans="2:14" x14ac:dyDescent="0.25">
      <c r="C73" t="s">
        <v>43</v>
      </c>
      <c r="F73" s="11"/>
      <c r="G73" s="11"/>
      <c r="H73" s="11"/>
      <c r="I73" s="11">
        <v>1360.89</v>
      </c>
      <c r="J73" s="11"/>
      <c r="K73" s="11"/>
      <c r="L73" s="11">
        <f t="shared" si="3"/>
        <v>1360.89</v>
      </c>
      <c r="M73" s="13" t="s">
        <v>68</v>
      </c>
      <c r="N73" s="11">
        <v>1386</v>
      </c>
    </row>
    <row r="74" spans="2:14" x14ac:dyDescent="0.25">
      <c r="C74" t="s">
        <v>80</v>
      </c>
      <c r="F74" s="11"/>
      <c r="G74" s="11"/>
      <c r="H74" s="11"/>
      <c r="I74" s="11">
        <v>-156</v>
      </c>
      <c r="J74" s="11"/>
      <c r="K74" s="11"/>
      <c r="L74" s="11">
        <f t="shared" si="3"/>
        <v>-156</v>
      </c>
      <c r="M74" s="13" t="s">
        <v>68</v>
      </c>
      <c r="N74" s="11"/>
    </row>
    <row r="75" spans="2:14" x14ac:dyDescent="0.25">
      <c r="C75" t="s">
        <v>89</v>
      </c>
      <c r="F75" s="11"/>
      <c r="G75" s="11"/>
      <c r="H75" s="11"/>
      <c r="I75" s="11">
        <f>2656.62-188.95-123.42-1544.42</f>
        <v>799.82999999999993</v>
      </c>
      <c r="J75" s="11" t="s">
        <v>96</v>
      </c>
      <c r="K75" s="11">
        <f>-41.97</f>
        <v>-41.97</v>
      </c>
      <c r="L75" s="11">
        <f t="shared" si="3"/>
        <v>757.8599999999999</v>
      </c>
      <c r="M75" s="13" t="s">
        <v>68</v>
      </c>
      <c r="N75" s="11"/>
    </row>
    <row r="76" spans="2:14" x14ac:dyDescent="0.25">
      <c r="C76" t="s">
        <v>44</v>
      </c>
      <c r="F76" s="11"/>
      <c r="G76" s="11"/>
      <c r="H76" s="11"/>
      <c r="I76" s="11">
        <f>79.5+43.92</f>
        <v>123.42</v>
      </c>
      <c r="J76" s="11"/>
      <c r="K76" s="11"/>
      <c r="L76" s="11">
        <f t="shared" si="3"/>
        <v>123.42</v>
      </c>
      <c r="M76" s="13" t="s">
        <v>68</v>
      </c>
      <c r="N76" s="11">
        <v>1506</v>
      </c>
    </row>
    <row r="77" spans="2:14" x14ac:dyDescent="0.25">
      <c r="C77" t="s">
        <v>45</v>
      </c>
      <c r="F77" s="11"/>
      <c r="G77" s="11"/>
      <c r="H77" s="11"/>
      <c r="I77" s="11">
        <v>444.06</v>
      </c>
      <c r="J77" s="11"/>
      <c r="K77" s="11"/>
      <c r="L77" s="11">
        <f t="shared" si="3"/>
        <v>444.06</v>
      </c>
      <c r="M77" s="13" t="s">
        <v>68</v>
      </c>
      <c r="N77" s="11">
        <v>443</v>
      </c>
    </row>
    <row r="78" spans="2:14" x14ac:dyDescent="0.25">
      <c r="C78" t="s">
        <v>46</v>
      </c>
      <c r="F78" s="11"/>
      <c r="G78" s="11"/>
      <c r="H78" s="11"/>
      <c r="I78" s="11">
        <v>501.71</v>
      </c>
      <c r="J78" s="11"/>
      <c r="K78" s="11"/>
      <c r="L78" s="11">
        <f t="shared" si="3"/>
        <v>501.71</v>
      </c>
      <c r="M78" s="13" t="s">
        <v>68</v>
      </c>
      <c r="N78" s="11">
        <v>442</v>
      </c>
    </row>
    <row r="79" spans="2:14" x14ac:dyDescent="0.25">
      <c r="C79" t="s">
        <v>47</v>
      </c>
      <c r="F79" s="11"/>
      <c r="G79" s="11"/>
      <c r="H79" s="11"/>
      <c r="I79" s="11">
        <v>1318.56</v>
      </c>
      <c r="J79" s="11"/>
      <c r="K79" s="11"/>
      <c r="L79" s="11">
        <f t="shared" si="3"/>
        <v>1318.56</v>
      </c>
      <c r="M79" s="13" t="s">
        <v>68</v>
      </c>
      <c r="N79" s="11">
        <v>1186</v>
      </c>
    </row>
    <row r="80" spans="2:14" x14ac:dyDescent="0.25">
      <c r="C80" t="s">
        <v>48</v>
      </c>
      <c r="F80" s="11"/>
      <c r="G80" s="11"/>
      <c r="H80" s="11"/>
      <c r="I80" s="11"/>
      <c r="J80" s="11"/>
      <c r="K80" s="11"/>
      <c r="L80" s="11">
        <f t="shared" si="3"/>
        <v>0</v>
      </c>
      <c r="M80" s="13" t="s">
        <v>68</v>
      </c>
      <c r="N80" s="11">
        <v>0</v>
      </c>
    </row>
    <row r="81" spans="2:14" x14ac:dyDescent="0.25">
      <c r="D81" t="s">
        <v>88</v>
      </c>
      <c r="F81" s="11"/>
      <c r="G81" s="11"/>
      <c r="H81" s="11"/>
      <c r="I81" s="11">
        <v>188.95</v>
      </c>
      <c r="J81" s="11"/>
      <c r="K81" s="11"/>
      <c r="L81" s="11">
        <f t="shared" si="3"/>
        <v>188.95</v>
      </c>
      <c r="M81" s="13" t="s">
        <v>68</v>
      </c>
      <c r="N81" s="11"/>
    </row>
    <row r="82" spans="2:14" x14ac:dyDescent="0.25">
      <c r="D82" t="s">
        <v>102</v>
      </c>
      <c r="F82" s="11"/>
      <c r="G82" s="11"/>
      <c r="H82" s="11"/>
      <c r="I82" s="11">
        <v>389</v>
      </c>
      <c r="J82" s="11"/>
      <c r="K82" s="11"/>
      <c r="L82" s="11">
        <f t="shared" si="3"/>
        <v>389</v>
      </c>
      <c r="M82" s="13" t="s">
        <v>68</v>
      </c>
      <c r="N82" s="11"/>
    </row>
    <row r="83" spans="2:14" ht="15.75" x14ac:dyDescent="0.25">
      <c r="B83" s="9" t="s">
        <v>50</v>
      </c>
      <c r="F83" s="11"/>
      <c r="G83" s="11"/>
      <c r="H83" s="11"/>
      <c r="I83" s="11"/>
      <c r="J83" s="11"/>
      <c r="K83" s="11"/>
      <c r="L83" s="11">
        <f t="shared" si="3"/>
        <v>0</v>
      </c>
      <c r="M83" s="13" t="s">
        <v>68</v>
      </c>
      <c r="N83" s="11"/>
    </row>
    <row r="84" spans="2:14" x14ac:dyDescent="0.25">
      <c r="C84" t="s">
        <v>51</v>
      </c>
      <c r="F84" s="11"/>
      <c r="G84" s="11"/>
      <c r="H84" s="11"/>
      <c r="I84" s="11">
        <v>6649.94</v>
      </c>
      <c r="J84" s="11"/>
      <c r="K84" s="11">
        <v>-1053.6400000000001</v>
      </c>
      <c r="L84" s="11">
        <f t="shared" si="3"/>
        <v>5596.2999999999993</v>
      </c>
      <c r="M84" s="13" t="s">
        <v>68</v>
      </c>
      <c r="N84" s="11">
        <v>6008</v>
      </c>
    </row>
    <row r="85" spans="2:14" x14ac:dyDescent="0.25">
      <c r="C85" t="s">
        <v>19</v>
      </c>
      <c r="F85" s="11"/>
      <c r="G85" s="11"/>
      <c r="H85" s="11"/>
      <c r="I85" s="11">
        <v>685.7</v>
      </c>
      <c r="J85" s="11" t="s">
        <v>93</v>
      </c>
      <c r="K85" s="11">
        <v>266.67</v>
      </c>
      <c r="L85" s="11">
        <f>SUM(F85:K85)</f>
        <v>952.37000000000012</v>
      </c>
      <c r="M85" s="13" t="s">
        <v>68</v>
      </c>
      <c r="N85" s="11"/>
    </row>
    <row r="86" spans="2:14" x14ac:dyDescent="0.25">
      <c r="C86" t="s">
        <v>52</v>
      </c>
      <c r="F86" s="11"/>
      <c r="G86" s="11"/>
      <c r="H86" s="11"/>
      <c r="I86" s="11">
        <v>669.85</v>
      </c>
      <c r="J86" s="11" t="s">
        <v>96</v>
      </c>
      <c r="K86" s="11">
        <v>-32.450000000000003</v>
      </c>
      <c r="L86" s="11">
        <f t="shared" si="3"/>
        <v>637.4</v>
      </c>
      <c r="M86" s="13" t="s">
        <v>68</v>
      </c>
      <c r="N86" s="11">
        <v>1420</v>
      </c>
    </row>
    <row r="87" spans="2:14" x14ac:dyDescent="0.25">
      <c r="C87" t="s">
        <v>53</v>
      </c>
      <c r="F87" s="11"/>
      <c r="G87" s="11"/>
      <c r="H87" s="11"/>
      <c r="I87" s="11">
        <v>513.28</v>
      </c>
      <c r="J87" s="11"/>
      <c r="K87" s="11"/>
      <c r="L87" s="11">
        <f t="shared" si="3"/>
        <v>513.28</v>
      </c>
      <c r="M87" s="13" t="s">
        <v>68</v>
      </c>
      <c r="N87" s="11">
        <v>714</v>
      </c>
    </row>
    <row r="88" spans="2:14" x14ac:dyDescent="0.25">
      <c r="C88" t="s">
        <v>87</v>
      </c>
      <c r="F88" s="11"/>
      <c r="G88" s="11"/>
      <c r="H88" s="11"/>
      <c r="I88" s="11">
        <v>1544.42</v>
      </c>
      <c r="J88" s="11"/>
      <c r="K88" s="11"/>
      <c r="L88" s="11">
        <f>SUM(F88:K88)</f>
        <v>1544.42</v>
      </c>
      <c r="M88" s="13" t="s">
        <v>68</v>
      </c>
      <c r="N88" s="11"/>
    </row>
    <row r="89" spans="2:14" x14ac:dyDescent="0.25">
      <c r="C89" t="s">
        <v>101</v>
      </c>
      <c r="F89" s="11"/>
      <c r="G89" s="11"/>
      <c r="H89" s="11"/>
      <c r="I89" s="11"/>
      <c r="J89" s="11" t="s">
        <v>96</v>
      </c>
      <c r="K89" s="11">
        <v>74.42</v>
      </c>
      <c r="L89" s="11">
        <f>SUM(F89:K89)</f>
        <v>74.42</v>
      </c>
      <c r="M89" s="13" t="s">
        <v>68</v>
      </c>
      <c r="N89" s="11"/>
    </row>
    <row r="90" spans="2:14" x14ac:dyDescent="0.25">
      <c r="C90" t="s">
        <v>54</v>
      </c>
      <c r="F90" s="11"/>
      <c r="G90" s="11"/>
      <c r="H90" s="11"/>
      <c r="I90" s="11"/>
      <c r="J90" s="11"/>
      <c r="K90" s="11"/>
      <c r="L90" s="11">
        <f t="shared" ref="L90:L98" si="4">SUM(F90:K90)</f>
        <v>0</v>
      </c>
      <c r="M90" s="13" t="s">
        <v>68</v>
      </c>
      <c r="N90" s="11">
        <v>87</v>
      </c>
    </row>
    <row r="91" spans="2:14" x14ac:dyDescent="0.25">
      <c r="C91" t="s">
        <v>36</v>
      </c>
      <c r="F91" s="11"/>
      <c r="G91" s="11"/>
      <c r="H91" s="11"/>
      <c r="I91" s="11">
        <v>3.6</v>
      </c>
      <c r="J91" s="11"/>
      <c r="K91" s="11"/>
      <c r="L91" s="11">
        <f t="shared" si="4"/>
        <v>3.6</v>
      </c>
      <c r="M91" s="13" t="s">
        <v>68</v>
      </c>
      <c r="N91" s="11">
        <v>1110</v>
      </c>
    </row>
    <row r="92" spans="2:14" x14ac:dyDescent="0.25">
      <c r="C92" t="s">
        <v>34</v>
      </c>
      <c r="F92" s="11"/>
      <c r="G92" s="11"/>
      <c r="H92" s="11"/>
      <c r="I92" s="11">
        <v>267.99</v>
      </c>
      <c r="J92" s="11"/>
      <c r="K92" s="11"/>
      <c r="L92" s="11">
        <f t="shared" si="4"/>
        <v>267.99</v>
      </c>
      <c r="M92" s="13" t="s">
        <v>68</v>
      </c>
      <c r="N92" s="11">
        <v>258</v>
      </c>
    </row>
    <row r="93" spans="2:14" x14ac:dyDescent="0.25">
      <c r="C93" t="s">
        <v>86</v>
      </c>
      <c r="F93" s="11"/>
      <c r="G93" s="11"/>
      <c r="H93" s="11"/>
      <c r="I93" s="11">
        <v>4267.37</v>
      </c>
      <c r="J93" s="11" t="s">
        <v>92</v>
      </c>
      <c r="K93" s="11">
        <v>-4267.37</v>
      </c>
      <c r="L93" s="11">
        <f t="shared" si="4"/>
        <v>0</v>
      </c>
      <c r="M93" s="13" t="s">
        <v>68</v>
      </c>
      <c r="N93" s="11"/>
    </row>
    <row r="94" spans="2:14" ht="15.75" x14ac:dyDescent="0.25">
      <c r="B94" s="9" t="s">
        <v>55</v>
      </c>
      <c r="F94" s="11"/>
      <c r="G94" s="11"/>
      <c r="H94" s="11"/>
      <c r="I94" s="11"/>
      <c r="J94" s="11"/>
      <c r="K94" s="11"/>
      <c r="L94" s="11">
        <f t="shared" si="4"/>
        <v>0</v>
      </c>
      <c r="M94" s="13" t="s">
        <v>68</v>
      </c>
      <c r="N94" s="11"/>
    </row>
    <row r="95" spans="2:14" x14ac:dyDescent="0.25">
      <c r="C95" t="s">
        <v>56</v>
      </c>
      <c r="F95" s="11"/>
      <c r="G95" s="11"/>
      <c r="H95" s="11"/>
      <c r="I95" s="11">
        <v>813.15</v>
      </c>
      <c r="J95" s="11"/>
      <c r="K95" s="11"/>
      <c r="L95" s="11">
        <f t="shared" si="4"/>
        <v>813.15</v>
      </c>
      <c r="M95" s="13" t="s">
        <v>68</v>
      </c>
      <c r="N95" s="11">
        <v>120</v>
      </c>
    </row>
    <row r="96" spans="2:14" x14ac:dyDescent="0.25">
      <c r="C96" t="s">
        <v>57</v>
      </c>
      <c r="F96" s="11"/>
      <c r="G96" s="11"/>
      <c r="H96" s="11"/>
      <c r="I96" s="11">
        <v>213.13</v>
      </c>
      <c r="J96" s="11"/>
      <c r="K96" s="11"/>
      <c r="L96" s="11">
        <f t="shared" si="4"/>
        <v>213.13</v>
      </c>
      <c r="M96" s="13" t="s">
        <v>68</v>
      </c>
      <c r="N96" s="11">
        <v>97</v>
      </c>
    </row>
    <row r="97" spans="3:14" x14ac:dyDescent="0.25">
      <c r="C97" t="s">
        <v>58</v>
      </c>
      <c r="F97" s="11"/>
      <c r="G97" s="11"/>
      <c r="H97" s="11"/>
      <c r="I97" s="11">
        <v>224.1</v>
      </c>
      <c r="J97" s="11"/>
      <c r="K97" s="11"/>
      <c r="L97" s="11">
        <f t="shared" si="4"/>
        <v>224.1</v>
      </c>
      <c r="M97" s="13" t="s">
        <v>68</v>
      </c>
      <c r="N97" s="11">
        <v>199</v>
      </c>
    </row>
    <row r="98" spans="3:14" x14ac:dyDescent="0.25">
      <c r="C98" t="s">
        <v>59</v>
      </c>
      <c r="F98" s="11"/>
      <c r="G98" s="11"/>
      <c r="H98" s="11">
        <f>130.19+30.37+30.37</f>
        <v>190.93</v>
      </c>
      <c r="I98" s="11">
        <v>193.13</v>
      </c>
      <c r="J98" s="11"/>
      <c r="K98" s="11"/>
      <c r="L98" s="11">
        <f t="shared" si="4"/>
        <v>384.06</v>
      </c>
      <c r="M98" s="13" t="s">
        <v>68</v>
      </c>
      <c r="N98" s="11">
        <v>382</v>
      </c>
    </row>
    <row r="99" spans="3:14" ht="15.75" thickBot="1" x14ac:dyDescent="0.3">
      <c r="F99" s="15">
        <f>SUM(F70:F98)</f>
        <v>0</v>
      </c>
      <c r="G99" s="15">
        <f>SUM(G70:G98)</f>
        <v>0</v>
      </c>
      <c r="H99" s="15">
        <f>SUM(H70:H98)</f>
        <v>-2.8421709430404007E-13</v>
      </c>
      <c r="I99" s="15">
        <f>SUM(I70:I98)</f>
        <v>-2.5579538487363607E-13</v>
      </c>
      <c r="J99" s="15"/>
      <c r="K99" s="15">
        <f>SUM(K70:K98)</f>
        <v>0</v>
      </c>
      <c r="L99" s="15">
        <f>SUM(L70:L98)</f>
        <v>3.808509063674137E-12</v>
      </c>
      <c r="M99" s="11"/>
      <c r="N99" s="12">
        <f>SUM(N70:N98)</f>
        <v>0</v>
      </c>
    </row>
    <row r="100" spans="3:14" ht="15.75" thickTop="1" x14ac:dyDescent="0.25">
      <c r="F100" s="11"/>
      <c r="G100" s="11"/>
      <c r="H100" s="11"/>
      <c r="I100" s="11"/>
      <c r="J100" s="11"/>
      <c r="K100" s="11"/>
      <c r="L100" s="11"/>
      <c r="M100" s="11"/>
      <c r="N100" s="11"/>
    </row>
  </sheetData>
  <pageMargins left="0.7" right="0.7" top="0.75" bottom="0.75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F6DF-0E01-430F-8953-3F6D14387939}">
  <dimension ref="B1:R94"/>
  <sheetViews>
    <sheetView topLeftCell="A34" workbookViewId="0">
      <selection activeCell="U57" sqref="U57"/>
    </sheetView>
  </sheetViews>
  <sheetFormatPr defaultRowHeight="15" x14ac:dyDescent="0.25"/>
  <cols>
    <col min="1" max="1" width="2" customWidth="1"/>
    <col min="2" max="2" width="1.5703125" customWidth="1"/>
    <col min="5" max="5" width="29" customWidth="1"/>
    <col min="6" max="6" width="13.140625" customWidth="1"/>
    <col min="7" max="7" width="9.28515625" bestFit="1" customWidth="1"/>
    <col min="8" max="9" width="11.5703125" customWidth="1"/>
    <col min="10" max="10" width="4.42578125" style="21" customWidth="1"/>
    <col min="11" max="11" width="10.5703125" customWidth="1"/>
    <col min="12" max="12" width="10.5703125" bestFit="1" customWidth="1"/>
    <col min="13" max="13" width="3" style="39" customWidth="1"/>
    <col min="14" max="14" width="12.28515625" style="39" customWidth="1"/>
  </cols>
  <sheetData>
    <row r="1" spans="2:18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 t="s">
        <v>63</v>
      </c>
    </row>
    <row r="2" spans="2:18" x14ac:dyDescent="0.25">
      <c r="F2" s="1">
        <v>45658</v>
      </c>
      <c r="G2" s="5"/>
      <c r="H2" s="5"/>
      <c r="I2" s="5"/>
      <c r="J2" s="22"/>
      <c r="K2" s="5" t="s">
        <v>66</v>
      </c>
      <c r="L2" s="38" t="s">
        <v>291</v>
      </c>
      <c r="N2" s="38" t="s">
        <v>266</v>
      </c>
    </row>
    <row r="3" spans="2:18" x14ac:dyDescent="0.25">
      <c r="B3" s="2" t="s">
        <v>12</v>
      </c>
      <c r="M3" s="54" t="s">
        <v>68</v>
      </c>
      <c r="N3" s="4"/>
    </row>
    <row r="4" spans="2:18" x14ac:dyDescent="0.25">
      <c r="C4" t="s">
        <v>13</v>
      </c>
      <c r="F4" s="4" t="s">
        <v>65</v>
      </c>
      <c r="G4" s="4"/>
      <c r="H4" s="4"/>
      <c r="I4" s="4"/>
      <c r="J4" s="23"/>
      <c r="K4" s="4"/>
      <c r="L4" s="4" t="s">
        <v>65</v>
      </c>
      <c r="M4" s="54" t="s">
        <v>68</v>
      </c>
      <c r="N4" s="4" t="s">
        <v>65</v>
      </c>
    </row>
    <row r="5" spans="2:18" x14ac:dyDescent="0.25">
      <c r="B5" s="2" t="s">
        <v>3</v>
      </c>
      <c r="F5" s="11">
        <v>0</v>
      </c>
      <c r="G5" s="11"/>
      <c r="H5" s="11"/>
      <c r="I5" s="11"/>
      <c r="K5" s="11"/>
      <c r="L5" s="11">
        <f t="shared" ref="L5:L24" si="0">SUM(F5+G5+H5+I5+K5)</f>
        <v>0</v>
      </c>
      <c r="M5" s="55" t="s">
        <v>68</v>
      </c>
      <c r="N5" s="60">
        <v>0</v>
      </c>
    </row>
    <row r="6" spans="2:18" x14ac:dyDescent="0.25">
      <c r="D6" t="s">
        <v>297</v>
      </c>
      <c r="F6" s="11"/>
      <c r="G6" s="11"/>
      <c r="H6" s="11"/>
      <c r="I6" s="11">
        <v>6352.5</v>
      </c>
      <c r="K6" s="11"/>
      <c r="L6" s="11">
        <f>SUM(F6+G6+H6+I6+K6)</f>
        <v>6352.5</v>
      </c>
      <c r="M6" s="55" t="s">
        <v>68</v>
      </c>
      <c r="N6" s="60">
        <v>0</v>
      </c>
    </row>
    <row r="7" spans="2:18" x14ac:dyDescent="0.25">
      <c r="C7" s="6" t="s">
        <v>20</v>
      </c>
      <c r="F7" s="60">
        <v>130</v>
      </c>
      <c r="G7" s="11"/>
      <c r="H7" s="11"/>
      <c r="I7" s="11"/>
      <c r="J7" s="21" t="s">
        <v>209</v>
      </c>
      <c r="K7" s="11">
        <v>-130</v>
      </c>
      <c r="L7" s="11">
        <f t="shared" si="0"/>
        <v>0</v>
      </c>
      <c r="M7" s="55" t="s">
        <v>68</v>
      </c>
      <c r="N7" s="60">
        <v>130</v>
      </c>
      <c r="O7" s="10" t="s">
        <v>293</v>
      </c>
      <c r="P7" s="10"/>
      <c r="Q7" s="10"/>
      <c r="R7" s="10"/>
    </row>
    <row r="8" spans="2:18" x14ac:dyDescent="0.25">
      <c r="C8" s="6" t="s">
        <v>178</v>
      </c>
      <c r="F8" s="60">
        <v>42.5</v>
      </c>
      <c r="G8" s="11"/>
      <c r="H8" s="11"/>
      <c r="I8" s="11"/>
      <c r="J8" s="21" t="s">
        <v>209</v>
      </c>
      <c r="K8" s="11">
        <v>-42.5</v>
      </c>
      <c r="L8" s="11">
        <f t="shared" si="0"/>
        <v>0</v>
      </c>
      <c r="M8" s="55" t="s">
        <v>68</v>
      </c>
      <c r="N8" s="60">
        <v>42.5</v>
      </c>
      <c r="O8" s="10" t="s">
        <v>293</v>
      </c>
      <c r="P8" s="10"/>
      <c r="Q8" s="10"/>
      <c r="R8" s="10"/>
    </row>
    <row r="9" spans="2:18" x14ac:dyDescent="0.25">
      <c r="C9" t="s">
        <v>155</v>
      </c>
      <c r="F9" s="60">
        <v>160</v>
      </c>
      <c r="G9" s="11"/>
      <c r="H9" s="11"/>
      <c r="I9" s="11"/>
      <c r="J9" s="21" t="s">
        <v>209</v>
      </c>
      <c r="K9" s="11">
        <v>-160</v>
      </c>
      <c r="L9" s="11">
        <f t="shared" si="0"/>
        <v>0</v>
      </c>
      <c r="M9" s="55" t="s">
        <v>68</v>
      </c>
      <c r="N9" s="60">
        <v>160</v>
      </c>
      <c r="O9" s="10" t="s">
        <v>293</v>
      </c>
      <c r="P9" s="10"/>
      <c r="Q9" s="10"/>
      <c r="R9" s="10"/>
    </row>
    <row r="10" spans="2:18" x14ac:dyDescent="0.25">
      <c r="B10" s="2" t="s">
        <v>5</v>
      </c>
      <c r="C10" s="2"/>
      <c r="F10" s="60">
        <v>0</v>
      </c>
      <c r="G10" s="11"/>
      <c r="H10" s="11"/>
      <c r="I10" s="11"/>
      <c r="K10" s="11"/>
      <c r="L10" s="11">
        <f t="shared" si="0"/>
        <v>0</v>
      </c>
      <c r="M10" s="55" t="s">
        <v>68</v>
      </c>
      <c r="N10" s="60">
        <v>0</v>
      </c>
    </row>
    <row r="11" spans="2:18" x14ac:dyDescent="0.25">
      <c r="C11" t="s">
        <v>6</v>
      </c>
      <c r="F11" s="60">
        <v>1100.3499999999999</v>
      </c>
      <c r="G11" s="11"/>
      <c r="H11" s="11">
        <v>-915.35</v>
      </c>
      <c r="I11" s="11"/>
      <c r="K11" s="11"/>
      <c r="L11" s="11">
        <f t="shared" si="0"/>
        <v>184.99999999999989</v>
      </c>
      <c r="M11" s="55" t="s">
        <v>68</v>
      </c>
      <c r="N11" s="60">
        <v>1100.3499999999999</v>
      </c>
    </row>
    <row r="12" spans="2:18" x14ac:dyDescent="0.25">
      <c r="C12" t="s">
        <v>272</v>
      </c>
      <c r="F12" s="60">
        <v>5484.4900000000052</v>
      </c>
      <c r="G12" s="11"/>
      <c r="H12" s="11"/>
      <c r="I12" s="11">
        <v>-6482.94</v>
      </c>
      <c r="J12" s="21" t="s">
        <v>212</v>
      </c>
      <c r="K12" s="11">
        <v>1360.42</v>
      </c>
      <c r="L12" s="11">
        <f t="shared" si="0"/>
        <v>361.97000000000571</v>
      </c>
      <c r="M12" s="55" t="s">
        <v>68</v>
      </c>
      <c r="N12" s="60">
        <v>5484.4900000000052</v>
      </c>
    </row>
    <row r="13" spans="2:18" x14ac:dyDescent="0.25">
      <c r="C13" t="s">
        <v>273</v>
      </c>
      <c r="F13" s="60">
        <v>40000</v>
      </c>
      <c r="G13" s="11"/>
      <c r="H13" s="11"/>
      <c r="I13" s="11"/>
      <c r="K13" s="11"/>
      <c r="L13" s="11">
        <f>SUM(F13+G13+H13+I13+K13)</f>
        <v>40000</v>
      </c>
      <c r="M13" s="55" t="s">
        <v>68</v>
      </c>
      <c r="N13" s="60">
        <v>40000</v>
      </c>
    </row>
    <row r="14" spans="2:18" x14ac:dyDescent="0.25">
      <c r="C14" t="s">
        <v>274</v>
      </c>
      <c r="F14" s="60">
        <v>2410.27</v>
      </c>
      <c r="G14" s="11"/>
      <c r="H14" s="11"/>
      <c r="I14" s="11">
        <v>-2027.78</v>
      </c>
      <c r="K14" s="11"/>
      <c r="L14" s="11">
        <f t="shared" si="0"/>
        <v>382.49</v>
      </c>
      <c r="M14" s="55" t="s">
        <v>68</v>
      </c>
      <c r="N14" s="60">
        <v>2410.27</v>
      </c>
    </row>
    <row r="15" spans="2:18" x14ac:dyDescent="0.25">
      <c r="C15" t="s">
        <v>8</v>
      </c>
      <c r="F15" s="60">
        <v>146.9</v>
      </c>
      <c r="G15" s="11">
        <v>-81.75</v>
      </c>
      <c r="H15" s="11"/>
      <c r="I15" s="11"/>
      <c r="K15" s="11"/>
      <c r="L15" s="11">
        <f t="shared" si="0"/>
        <v>65.150000000000006</v>
      </c>
      <c r="M15" s="55" t="s">
        <v>68</v>
      </c>
      <c r="N15" s="60">
        <v>146.9</v>
      </c>
    </row>
    <row r="16" spans="2:18" x14ac:dyDescent="0.25">
      <c r="C16" t="s">
        <v>74</v>
      </c>
      <c r="F16" s="60">
        <v>0</v>
      </c>
      <c r="G16" s="11">
        <v>1602.5</v>
      </c>
      <c r="H16" s="11">
        <v>12150</v>
      </c>
      <c r="I16" s="11">
        <v>-13752.5</v>
      </c>
      <c r="K16" s="11"/>
      <c r="L16" s="11">
        <f t="shared" si="0"/>
        <v>0</v>
      </c>
      <c r="M16" s="55" t="s">
        <v>68</v>
      </c>
      <c r="N16" s="60">
        <v>0</v>
      </c>
    </row>
    <row r="17" spans="2:14" x14ac:dyDescent="0.25">
      <c r="B17" s="2" t="s">
        <v>15</v>
      </c>
      <c r="F17" s="60">
        <v>0</v>
      </c>
      <c r="G17" s="11"/>
      <c r="H17" s="11"/>
      <c r="I17" s="11"/>
      <c r="K17" s="11"/>
      <c r="L17" s="11">
        <f t="shared" si="0"/>
        <v>0</v>
      </c>
      <c r="M17" s="55" t="s">
        <v>68</v>
      </c>
      <c r="N17" s="60">
        <v>0</v>
      </c>
    </row>
    <row r="18" spans="2:14" x14ac:dyDescent="0.25">
      <c r="C18" t="s">
        <v>16</v>
      </c>
      <c r="F18" s="60">
        <f>-46660.53-1565.35</f>
        <v>-48225.88</v>
      </c>
      <c r="G18" s="11"/>
      <c r="H18" s="11"/>
      <c r="I18" s="11"/>
      <c r="K18" s="11"/>
      <c r="L18" s="11">
        <f t="shared" si="0"/>
        <v>-48225.88</v>
      </c>
      <c r="M18" s="55" t="s">
        <v>68</v>
      </c>
      <c r="N18" s="60">
        <v>-46660.53</v>
      </c>
    </row>
    <row r="19" spans="2:14" x14ac:dyDescent="0.25">
      <c r="B19" s="2" t="s">
        <v>18</v>
      </c>
      <c r="C19" s="2"/>
      <c r="F19" s="60">
        <v>0</v>
      </c>
      <c r="G19" s="11"/>
      <c r="H19" s="11"/>
      <c r="I19" s="11"/>
      <c r="K19" s="11"/>
      <c r="L19" s="11">
        <f t="shared" si="0"/>
        <v>0</v>
      </c>
      <c r="M19" s="55" t="s">
        <v>68</v>
      </c>
      <c r="N19" s="60">
        <v>0</v>
      </c>
    </row>
    <row r="20" spans="2:14" x14ac:dyDescent="0.25">
      <c r="C20" t="s">
        <v>22</v>
      </c>
      <c r="F20" s="60">
        <v>0</v>
      </c>
      <c r="G20" s="11"/>
      <c r="H20" s="11"/>
      <c r="I20" s="11"/>
      <c r="K20" s="11"/>
      <c r="L20" s="11">
        <f t="shared" si="0"/>
        <v>0</v>
      </c>
      <c r="M20" s="55" t="s">
        <v>68</v>
      </c>
      <c r="N20" s="60">
        <v>0</v>
      </c>
    </row>
    <row r="21" spans="2:14" x14ac:dyDescent="0.25">
      <c r="C21" s="6" t="s">
        <v>275</v>
      </c>
      <c r="F21" s="60">
        <v>-59</v>
      </c>
      <c r="G21" s="11"/>
      <c r="H21" s="11"/>
      <c r="I21" s="11"/>
      <c r="J21" s="21" t="s">
        <v>207</v>
      </c>
      <c r="K21" s="11">
        <v>59</v>
      </c>
      <c r="L21" s="11">
        <f t="shared" si="0"/>
        <v>0</v>
      </c>
      <c r="M21" s="55" t="s">
        <v>68</v>
      </c>
      <c r="N21" s="60">
        <v>-59</v>
      </c>
    </row>
    <row r="22" spans="2:14" x14ac:dyDescent="0.25">
      <c r="C22" s="6" t="s">
        <v>233</v>
      </c>
      <c r="F22" s="60">
        <v>0</v>
      </c>
      <c r="G22" s="11"/>
      <c r="H22" s="11"/>
      <c r="I22" s="11"/>
      <c r="K22" s="11"/>
      <c r="L22" s="11">
        <f t="shared" si="0"/>
        <v>0</v>
      </c>
      <c r="M22" s="55" t="s">
        <v>68</v>
      </c>
      <c r="N22" s="60">
        <v>0</v>
      </c>
    </row>
    <row r="23" spans="2:14" x14ac:dyDescent="0.25">
      <c r="C23" s="6" t="s">
        <v>294</v>
      </c>
      <c r="F23" s="60">
        <v>0</v>
      </c>
      <c r="G23" s="11"/>
      <c r="H23" s="11"/>
      <c r="I23" s="11">
        <v>-982.79</v>
      </c>
      <c r="K23" s="11"/>
      <c r="L23" s="11">
        <f t="shared" si="0"/>
        <v>-982.79</v>
      </c>
      <c r="M23" s="55" t="s">
        <v>68</v>
      </c>
      <c r="N23" s="60">
        <v>0</v>
      </c>
    </row>
    <row r="24" spans="2:14" x14ac:dyDescent="0.25">
      <c r="C24" s="6" t="s">
        <v>276</v>
      </c>
      <c r="F24" s="61">
        <v>-1189.6300000000001</v>
      </c>
      <c r="G24" s="19"/>
      <c r="H24" s="19"/>
      <c r="I24" s="19"/>
      <c r="J24" s="22" t="s">
        <v>204</v>
      </c>
      <c r="K24" s="19">
        <v>1189.6300000000001</v>
      </c>
      <c r="L24" s="11">
        <f t="shared" si="0"/>
        <v>0</v>
      </c>
      <c r="M24" s="55" t="s">
        <v>68</v>
      </c>
      <c r="N24" s="60">
        <v>-1189.6300000000001</v>
      </c>
    </row>
    <row r="25" spans="2:14" ht="15.75" thickBot="1" x14ac:dyDescent="0.3">
      <c r="E25" t="s">
        <v>108</v>
      </c>
      <c r="F25" s="11">
        <f>SUM(F5:F24)</f>
        <v>4.5474735088646412E-12</v>
      </c>
      <c r="G25" s="11">
        <f>SUM(G4:G24)</f>
        <v>1520.75</v>
      </c>
      <c r="H25" s="11">
        <f>SUM(H4:H24)</f>
        <v>11234.65</v>
      </c>
      <c r="I25" s="11">
        <f>SUM(I4:I24)</f>
        <v>-16893.509999999998</v>
      </c>
      <c r="K25" s="11">
        <f>SUM(K4:K24)</f>
        <v>2276.5500000000002</v>
      </c>
      <c r="L25" s="12">
        <f>SUM(L3:L24)</f>
        <v>-1861.5599999999895</v>
      </c>
      <c r="M25" s="56"/>
      <c r="N25" s="63">
        <v>1565.3500000000031</v>
      </c>
    </row>
    <row r="26" spans="2:14" ht="15.75" thickTop="1" x14ac:dyDescent="0.25">
      <c r="F26" s="11"/>
      <c r="G26" s="11"/>
      <c r="H26" s="11"/>
      <c r="I26" s="11"/>
      <c r="K26" s="11"/>
      <c r="L26" s="11"/>
      <c r="M26" s="56"/>
      <c r="N26" s="56"/>
    </row>
    <row r="27" spans="2:14" x14ac:dyDescent="0.25">
      <c r="F27" s="11"/>
      <c r="G27" s="11"/>
      <c r="H27" s="11"/>
      <c r="I27" s="11"/>
      <c r="K27" s="11"/>
      <c r="L27" s="11"/>
      <c r="M27" s="56"/>
      <c r="N27" s="56"/>
    </row>
    <row r="28" spans="2:14" x14ac:dyDescent="0.25">
      <c r="F28" s="11"/>
      <c r="G28" s="11"/>
      <c r="H28" s="11"/>
      <c r="I28" s="11"/>
      <c r="K28" s="11"/>
      <c r="L28" s="11"/>
      <c r="M28" s="56"/>
      <c r="N28" s="56"/>
    </row>
    <row r="29" spans="2:14" x14ac:dyDescent="0.25">
      <c r="F29" s="11"/>
      <c r="G29" s="11"/>
      <c r="H29" s="11"/>
      <c r="I29" s="11"/>
      <c r="K29" s="11"/>
      <c r="L29" s="11"/>
      <c r="M29" s="56"/>
      <c r="N29" s="56"/>
    </row>
    <row r="30" spans="2:14" x14ac:dyDescent="0.25">
      <c r="F30" s="11"/>
      <c r="G30" s="11"/>
      <c r="H30" s="11"/>
      <c r="I30" s="11"/>
      <c r="K30" s="11"/>
      <c r="L30" s="11"/>
      <c r="M30" s="56"/>
      <c r="N30" s="56"/>
    </row>
    <row r="31" spans="2:14" x14ac:dyDescent="0.25">
      <c r="F31" s="11"/>
      <c r="G31" s="11"/>
      <c r="H31" s="11"/>
      <c r="I31" s="11"/>
      <c r="K31" s="11"/>
      <c r="L31" s="11"/>
      <c r="M31" s="56"/>
      <c r="N31" s="56"/>
    </row>
    <row r="32" spans="2:14" x14ac:dyDescent="0.25">
      <c r="F32" s="11"/>
      <c r="G32" s="11"/>
      <c r="H32" s="11"/>
      <c r="I32" s="11"/>
      <c r="K32" s="11"/>
      <c r="L32" s="11"/>
      <c r="M32" s="56"/>
      <c r="N32" s="56"/>
    </row>
    <row r="33" spans="2:14" x14ac:dyDescent="0.25">
      <c r="F33" t="s">
        <v>62</v>
      </c>
      <c r="G33" t="s">
        <v>67</v>
      </c>
      <c r="H33" t="s">
        <v>75</v>
      </c>
      <c r="I33" t="s">
        <v>76</v>
      </c>
      <c r="L33" t="s">
        <v>63</v>
      </c>
      <c r="N33" s="39" t="s">
        <v>63</v>
      </c>
    </row>
    <row r="34" spans="2:14" x14ac:dyDescent="0.25">
      <c r="F34" s="1">
        <v>45658</v>
      </c>
      <c r="G34" s="5"/>
      <c r="H34" s="5"/>
      <c r="I34" s="5"/>
      <c r="J34" s="22"/>
      <c r="K34" s="5" t="s">
        <v>66</v>
      </c>
      <c r="L34" s="38" t="s">
        <v>291</v>
      </c>
      <c r="N34" s="39" t="s">
        <v>266</v>
      </c>
    </row>
    <row r="35" spans="2:14" x14ac:dyDescent="0.25">
      <c r="E35" t="s">
        <v>107</v>
      </c>
      <c r="F35" s="11">
        <f t="shared" ref="F35:K35" si="1">SUM(F25)</f>
        <v>4.5474735088646412E-12</v>
      </c>
      <c r="G35" s="11">
        <f t="shared" si="1"/>
        <v>1520.75</v>
      </c>
      <c r="H35" s="11">
        <f t="shared" si="1"/>
        <v>11234.65</v>
      </c>
      <c r="I35" s="11">
        <f t="shared" si="1"/>
        <v>-16893.509999999998</v>
      </c>
      <c r="J35" s="11">
        <f t="shared" si="1"/>
        <v>0</v>
      </c>
      <c r="K35" s="11">
        <f t="shared" si="1"/>
        <v>2276.5500000000002</v>
      </c>
      <c r="L35" s="11">
        <f>SUM(L25)</f>
        <v>-1861.5599999999895</v>
      </c>
      <c r="M35" s="55" t="s">
        <v>68</v>
      </c>
      <c r="N35" s="60">
        <v>1565.3500000000031</v>
      </c>
    </row>
    <row r="36" spans="2:14" ht="15.75" x14ac:dyDescent="0.25">
      <c r="B36" s="9" t="s">
        <v>27</v>
      </c>
      <c r="F36" s="11"/>
      <c r="G36" s="11"/>
      <c r="H36" s="11"/>
      <c r="I36" s="11"/>
      <c r="K36" s="11"/>
      <c r="L36" s="11"/>
      <c r="M36" s="55"/>
      <c r="N36" s="60"/>
    </row>
    <row r="37" spans="2:14" x14ac:dyDescent="0.25">
      <c r="B37" t="s">
        <v>28</v>
      </c>
      <c r="F37" s="11"/>
      <c r="G37" s="11">
        <v>-151</v>
      </c>
      <c r="H37" s="11">
        <v>-11349.4</v>
      </c>
      <c r="I37" s="11">
        <v>-198</v>
      </c>
      <c r="J37" s="21" t="s">
        <v>207</v>
      </c>
      <c r="K37" s="11">
        <v>-59</v>
      </c>
      <c r="L37" s="11">
        <f t="shared" ref="L37:L49" si="2">SUM(F37+G37+H37+I37+K37)</f>
        <v>-11757.4</v>
      </c>
      <c r="M37" s="55" t="s">
        <v>68</v>
      </c>
      <c r="N37" s="60">
        <v>-11905</v>
      </c>
    </row>
    <row r="38" spans="2:14" x14ac:dyDescent="0.25">
      <c r="B38" t="s">
        <v>29</v>
      </c>
      <c r="C38" t="s">
        <v>69</v>
      </c>
      <c r="F38" s="11"/>
      <c r="G38" s="11">
        <v>-331.6</v>
      </c>
      <c r="H38" s="11"/>
      <c r="I38" s="11">
        <v>-156.31</v>
      </c>
      <c r="K38" s="11"/>
      <c r="L38" s="11">
        <f t="shared" si="2"/>
        <v>-487.91</v>
      </c>
      <c r="M38" s="55" t="s">
        <v>68</v>
      </c>
      <c r="N38" s="60">
        <v>-885.18000000000006</v>
      </c>
    </row>
    <row r="39" spans="2:14" x14ac:dyDescent="0.25">
      <c r="B39" t="s">
        <v>30</v>
      </c>
      <c r="F39" s="11"/>
      <c r="G39" s="11"/>
      <c r="H39" s="11"/>
      <c r="I39" s="11">
        <v>-1500</v>
      </c>
      <c r="K39" s="11"/>
      <c r="L39" s="11">
        <f t="shared" si="2"/>
        <v>-1500</v>
      </c>
      <c r="M39" s="55" t="s">
        <v>68</v>
      </c>
      <c r="N39" s="60">
        <v>-1500</v>
      </c>
    </row>
    <row r="40" spans="2:14" x14ac:dyDescent="0.25">
      <c r="C40" s="6" t="s">
        <v>191</v>
      </c>
      <c r="F40" s="11"/>
      <c r="G40" s="11"/>
      <c r="H40" s="11"/>
      <c r="I40" s="11"/>
      <c r="K40" s="11"/>
      <c r="L40" s="11">
        <f>SUM(F40+G40+H40+I40+K40)</f>
        <v>0</v>
      </c>
      <c r="M40" s="55" t="s">
        <v>68</v>
      </c>
      <c r="N40" s="60">
        <v>0</v>
      </c>
    </row>
    <row r="41" spans="2:14" x14ac:dyDescent="0.25">
      <c r="B41" t="s">
        <v>31</v>
      </c>
      <c r="F41" s="11"/>
      <c r="G41" s="11"/>
      <c r="H41" s="11"/>
      <c r="I41" s="11"/>
      <c r="K41" s="11"/>
      <c r="L41" s="11">
        <f t="shared" si="2"/>
        <v>0</v>
      </c>
      <c r="M41" s="55" t="s">
        <v>68</v>
      </c>
      <c r="N41" s="60">
        <v>-250</v>
      </c>
    </row>
    <row r="42" spans="2:14" x14ac:dyDescent="0.25">
      <c r="B42" t="s">
        <v>119</v>
      </c>
      <c r="F42" s="11"/>
      <c r="G42" s="11">
        <v>-124.25</v>
      </c>
      <c r="H42" s="11">
        <v>-289.5</v>
      </c>
      <c r="I42" s="11">
        <v>-227.65</v>
      </c>
      <c r="K42" s="11"/>
      <c r="L42" s="11">
        <f t="shared" si="2"/>
        <v>-641.4</v>
      </c>
      <c r="M42" s="55" t="s">
        <v>68</v>
      </c>
      <c r="N42" s="60">
        <v>-464.91999999999996</v>
      </c>
    </row>
    <row r="43" spans="2:14" x14ac:dyDescent="0.25">
      <c r="B43" t="s">
        <v>84</v>
      </c>
      <c r="F43" s="11"/>
      <c r="G43" s="11"/>
      <c r="H43" s="11"/>
      <c r="I43" s="11"/>
      <c r="K43" s="11"/>
      <c r="L43" s="11">
        <f t="shared" si="2"/>
        <v>0</v>
      </c>
      <c r="M43" s="55" t="s">
        <v>68</v>
      </c>
      <c r="N43" s="60">
        <v>-325</v>
      </c>
    </row>
    <row r="44" spans="2:14" x14ac:dyDescent="0.25">
      <c r="B44" t="s">
        <v>188</v>
      </c>
      <c r="F44" s="11"/>
      <c r="G44" s="11"/>
      <c r="H44" s="11"/>
      <c r="I44" s="11"/>
      <c r="J44" s="21" t="s">
        <v>204</v>
      </c>
      <c r="K44" s="60">
        <v>-1189.6300000000001</v>
      </c>
      <c r="L44" s="11">
        <f t="shared" si="2"/>
        <v>-1189.6300000000001</v>
      </c>
      <c r="M44" s="55" t="s">
        <v>68</v>
      </c>
      <c r="N44" s="60">
        <v>-1171.1300000000001</v>
      </c>
    </row>
    <row r="45" spans="2:14" x14ac:dyDescent="0.25">
      <c r="B45" t="s">
        <v>85</v>
      </c>
      <c r="F45" s="11"/>
      <c r="G45" s="11">
        <v>-207.5</v>
      </c>
      <c r="H45" s="11"/>
      <c r="I45" s="11">
        <v>-77.5</v>
      </c>
      <c r="K45" s="11"/>
      <c r="L45" s="11">
        <f t="shared" si="2"/>
        <v>-285</v>
      </c>
      <c r="M45" s="55" t="s">
        <v>68</v>
      </c>
      <c r="N45" s="60">
        <v>-248.5</v>
      </c>
    </row>
    <row r="46" spans="2:14" x14ac:dyDescent="0.25">
      <c r="B46" t="s">
        <v>186</v>
      </c>
      <c r="F46" s="11"/>
      <c r="G46" s="11">
        <v>-97.5</v>
      </c>
      <c r="H46" s="11"/>
      <c r="I46" s="11"/>
      <c r="K46" s="11"/>
      <c r="L46" s="11">
        <f t="shared" si="2"/>
        <v>-97.5</v>
      </c>
      <c r="M46" s="55" t="s">
        <v>68</v>
      </c>
      <c r="N46" s="60">
        <v>-112.5</v>
      </c>
    </row>
    <row r="47" spans="2:14" x14ac:dyDescent="0.25">
      <c r="B47" t="s">
        <v>34</v>
      </c>
      <c r="E47" t="s">
        <v>236</v>
      </c>
      <c r="F47" s="11"/>
      <c r="G47" s="11">
        <v>-610</v>
      </c>
      <c r="H47" s="11"/>
      <c r="I47" s="11"/>
      <c r="K47" s="11"/>
      <c r="L47" s="11">
        <f>SUM(F47+G47+H47+I47+K47)</f>
        <v>-610</v>
      </c>
      <c r="M47" s="55" t="s">
        <v>68</v>
      </c>
      <c r="N47" s="60">
        <v>-615.65</v>
      </c>
    </row>
    <row r="48" spans="2:14" x14ac:dyDescent="0.25">
      <c r="B48" t="s">
        <v>35</v>
      </c>
      <c r="F48" s="11"/>
      <c r="G48" s="11"/>
      <c r="H48" s="11"/>
      <c r="I48" s="11">
        <v>-1500</v>
      </c>
      <c r="K48" s="11"/>
      <c r="L48" s="11">
        <f t="shared" si="2"/>
        <v>-1500</v>
      </c>
      <c r="M48" s="55" t="s">
        <v>68</v>
      </c>
      <c r="N48" s="60">
        <v>-1950</v>
      </c>
    </row>
    <row r="49" spans="2:14" x14ac:dyDescent="0.25">
      <c r="B49" t="s">
        <v>295</v>
      </c>
      <c r="F49" s="11"/>
      <c r="G49" s="11"/>
      <c r="H49" s="11"/>
      <c r="I49" s="11">
        <v>-1400</v>
      </c>
      <c r="K49" s="11"/>
      <c r="L49" s="11">
        <f t="shared" si="2"/>
        <v>-1400</v>
      </c>
      <c r="M49" s="55" t="s">
        <v>68</v>
      </c>
      <c r="N49" s="60">
        <v>-800</v>
      </c>
    </row>
    <row r="50" spans="2:14" x14ac:dyDescent="0.25">
      <c r="B50" t="s">
        <v>38</v>
      </c>
      <c r="F50" s="19"/>
      <c r="G50" s="19"/>
      <c r="H50" s="19"/>
      <c r="I50" s="19"/>
      <c r="J50" s="22" t="s">
        <v>212</v>
      </c>
      <c r="K50" s="19">
        <v>-1360.42</v>
      </c>
      <c r="L50" s="19">
        <f>SUM(F50+G50+H50+I50+K50)</f>
        <v>-1360.42</v>
      </c>
      <c r="M50" s="55" t="s">
        <v>68</v>
      </c>
      <c r="N50" s="60">
        <v>-466.49</v>
      </c>
    </row>
    <row r="51" spans="2:14" x14ac:dyDescent="0.25">
      <c r="E51" t="s">
        <v>106</v>
      </c>
      <c r="F51" s="11">
        <f>SUM(F35:F50)</f>
        <v>4.5474735088646412E-12</v>
      </c>
      <c r="G51" s="11">
        <f>SUM(G35:G50)</f>
        <v>-1.0999999999999091</v>
      </c>
      <c r="H51" s="11">
        <f>SUM(H35:H50)</f>
        <v>-404.25</v>
      </c>
      <c r="I51" s="11">
        <f>SUM(I35:I50)</f>
        <v>-21952.97</v>
      </c>
      <c r="K51" s="11">
        <f>SUM(K35:K50)</f>
        <v>-332.5</v>
      </c>
      <c r="L51" s="11">
        <f>SUM(L35:L50)</f>
        <v>-22690.819999999985</v>
      </c>
      <c r="M51" s="55" t="s">
        <v>68</v>
      </c>
      <c r="N51" s="56">
        <v>-19129.02</v>
      </c>
    </row>
    <row r="52" spans="2:14" x14ac:dyDescent="0.25">
      <c r="F52" s="11"/>
      <c r="G52" s="11"/>
      <c r="H52" s="11"/>
      <c r="I52" s="11"/>
      <c r="K52" s="11"/>
      <c r="L52" s="11"/>
      <c r="M52" s="56"/>
      <c r="N52" s="56"/>
    </row>
    <row r="53" spans="2:14" x14ac:dyDescent="0.25">
      <c r="F53" s="11"/>
      <c r="G53" s="11"/>
      <c r="H53" s="11"/>
      <c r="I53" s="11"/>
      <c r="K53" s="11"/>
      <c r="L53" s="11"/>
      <c r="M53" s="56"/>
      <c r="N53" s="56"/>
    </row>
    <row r="54" spans="2:14" x14ac:dyDescent="0.25">
      <c r="F54" s="11"/>
      <c r="G54" s="11"/>
      <c r="H54" s="11"/>
      <c r="I54" s="11"/>
      <c r="K54" s="11"/>
      <c r="L54" s="11"/>
      <c r="M54" s="56"/>
      <c r="N54" s="56"/>
    </row>
    <row r="55" spans="2:14" x14ac:dyDescent="0.25">
      <c r="F55" s="11"/>
      <c r="G55" s="11"/>
      <c r="H55" s="11"/>
      <c r="I55" s="11"/>
      <c r="K55" s="11"/>
      <c r="L55" s="11"/>
      <c r="M55" s="56"/>
      <c r="N55" s="56"/>
    </row>
    <row r="56" spans="2:14" x14ac:dyDescent="0.25">
      <c r="F56" s="11"/>
      <c r="G56" s="11"/>
      <c r="H56" s="11"/>
      <c r="I56" s="11"/>
      <c r="K56" s="11"/>
      <c r="L56" s="11"/>
      <c r="M56" s="56"/>
      <c r="N56" s="56"/>
    </row>
    <row r="57" spans="2:14" x14ac:dyDescent="0.25">
      <c r="F57" s="11"/>
      <c r="G57" s="11"/>
      <c r="H57" s="11"/>
      <c r="I57" s="11"/>
      <c r="K57" s="11"/>
      <c r="L57" s="11"/>
      <c r="M57" s="56"/>
      <c r="N57" s="56"/>
    </row>
    <row r="58" spans="2:14" x14ac:dyDescent="0.25">
      <c r="F58" s="11"/>
      <c r="G58" s="11"/>
      <c r="H58" s="11"/>
      <c r="I58" s="11"/>
      <c r="K58" s="11"/>
      <c r="L58" s="11"/>
      <c r="M58" s="56"/>
      <c r="N58" s="56"/>
    </row>
    <row r="59" spans="2:14" x14ac:dyDescent="0.25">
      <c r="F59" s="11"/>
      <c r="G59" s="11"/>
      <c r="H59" s="11"/>
      <c r="I59" s="11"/>
      <c r="K59" s="11"/>
      <c r="L59" s="11"/>
      <c r="M59" s="56"/>
      <c r="N59" s="56"/>
    </row>
    <row r="60" spans="2:14" x14ac:dyDescent="0.25">
      <c r="F60" t="s">
        <v>62</v>
      </c>
      <c r="G60" t="s">
        <v>67</v>
      </c>
      <c r="H60" t="s">
        <v>75</v>
      </c>
      <c r="I60" t="s">
        <v>76</v>
      </c>
      <c r="L60" t="s">
        <v>63</v>
      </c>
      <c r="N60" t="s">
        <v>63</v>
      </c>
    </row>
    <row r="61" spans="2:14" x14ac:dyDescent="0.25">
      <c r="F61" s="1">
        <v>45658</v>
      </c>
      <c r="G61" s="5"/>
      <c r="H61" s="5"/>
      <c r="I61" s="5"/>
      <c r="J61" s="22"/>
      <c r="K61" s="5" t="s">
        <v>66</v>
      </c>
      <c r="L61" s="38" t="s">
        <v>291</v>
      </c>
      <c r="N61" s="38" t="s">
        <v>266</v>
      </c>
    </row>
    <row r="62" spans="2:14" x14ac:dyDescent="0.25">
      <c r="E62" t="s">
        <v>107</v>
      </c>
      <c r="F62" s="11">
        <f t="shared" ref="F62:K62" si="3">SUM(F51)</f>
        <v>4.5474735088646412E-12</v>
      </c>
      <c r="G62" s="11">
        <f t="shared" si="3"/>
        <v>-1.0999999999999091</v>
      </c>
      <c r="H62" s="11">
        <f t="shared" si="3"/>
        <v>-404.25</v>
      </c>
      <c r="I62" s="11">
        <f t="shared" si="3"/>
        <v>-21952.97</v>
      </c>
      <c r="J62" s="11">
        <f t="shared" si="3"/>
        <v>0</v>
      </c>
      <c r="K62" s="11">
        <f t="shared" si="3"/>
        <v>-332.5</v>
      </c>
      <c r="L62" s="11">
        <f>SUM(L51)</f>
        <v>-22690.819999999985</v>
      </c>
      <c r="M62" s="54" t="s">
        <v>68</v>
      </c>
      <c r="N62" s="4">
        <v>-19129.02</v>
      </c>
    </row>
    <row r="63" spans="2:14" ht="18.75" x14ac:dyDescent="0.3">
      <c r="B63" s="3" t="s">
        <v>41</v>
      </c>
      <c r="F63" s="11"/>
      <c r="G63" s="11"/>
      <c r="H63" s="11"/>
      <c r="I63" s="11"/>
      <c r="K63" s="11"/>
      <c r="L63" s="11"/>
      <c r="M63" s="55" t="s">
        <v>68</v>
      </c>
      <c r="N63" s="60"/>
    </row>
    <row r="64" spans="2:14" x14ac:dyDescent="0.25">
      <c r="B64" s="2" t="s">
        <v>42</v>
      </c>
      <c r="F64" s="11"/>
      <c r="G64" s="11"/>
      <c r="H64" s="11"/>
      <c r="I64" s="11"/>
      <c r="K64" s="11"/>
      <c r="L64" s="11"/>
      <c r="M64" s="55" t="s">
        <v>68</v>
      </c>
      <c r="N64" s="60"/>
    </row>
    <row r="65" spans="2:14" x14ac:dyDescent="0.25">
      <c r="C65" t="s">
        <v>43</v>
      </c>
      <c r="F65" s="11"/>
      <c r="G65" s="11"/>
      <c r="H65" s="11"/>
      <c r="I65" s="11">
        <v>2618.11</v>
      </c>
      <c r="K65" s="11"/>
      <c r="L65" s="11">
        <f t="shared" ref="L65:L91" si="4">SUM(F65+G65+H65+I65+K65)</f>
        <v>2618.11</v>
      </c>
      <c r="M65" s="55" t="s">
        <v>68</v>
      </c>
      <c r="N65" s="60">
        <v>1491.83</v>
      </c>
    </row>
    <row r="66" spans="2:14" x14ac:dyDescent="0.25">
      <c r="C66" t="s">
        <v>89</v>
      </c>
      <c r="F66" s="11"/>
      <c r="G66" s="11">
        <v>1.1000000000000001</v>
      </c>
      <c r="H66" s="11"/>
      <c r="I66" s="11">
        <v>164.08</v>
      </c>
      <c r="K66" s="11"/>
      <c r="L66" s="11">
        <f t="shared" si="4"/>
        <v>165.18</v>
      </c>
      <c r="M66" s="55" t="s">
        <v>68</v>
      </c>
      <c r="N66" s="60">
        <v>386.16999999999996</v>
      </c>
    </row>
    <row r="67" spans="2:14" x14ac:dyDescent="0.25">
      <c r="C67" t="s">
        <v>44</v>
      </c>
      <c r="F67" s="11"/>
      <c r="G67" s="11"/>
      <c r="H67" s="11"/>
      <c r="I67" s="11">
        <f>514.49-299.51</f>
        <v>214.98000000000002</v>
      </c>
      <c r="K67" s="11"/>
      <c r="L67" s="11">
        <f t="shared" si="4"/>
        <v>214.98000000000002</v>
      </c>
      <c r="M67" s="55" t="s">
        <v>68</v>
      </c>
      <c r="N67" s="60">
        <v>275.12</v>
      </c>
    </row>
    <row r="68" spans="2:14" x14ac:dyDescent="0.25">
      <c r="C68" t="s">
        <v>45</v>
      </c>
      <c r="F68" s="11"/>
      <c r="G68" s="11"/>
      <c r="H68" s="11"/>
      <c r="I68" s="11">
        <v>963.22</v>
      </c>
      <c r="K68" s="11"/>
      <c r="L68" s="11">
        <f t="shared" si="4"/>
        <v>963.22</v>
      </c>
      <c r="M68" s="55" t="s">
        <v>68</v>
      </c>
      <c r="N68" s="60">
        <v>740.11</v>
      </c>
    </row>
    <row r="69" spans="2:14" x14ac:dyDescent="0.25">
      <c r="C69" t="s">
        <v>46</v>
      </c>
      <c r="F69" s="11"/>
      <c r="G69" s="11"/>
      <c r="H69" s="11"/>
      <c r="I69" s="11">
        <v>711.92</v>
      </c>
      <c r="K69" s="11"/>
      <c r="L69" s="11">
        <f t="shared" si="4"/>
        <v>711.92</v>
      </c>
      <c r="M69" s="55" t="s">
        <v>68</v>
      </c>
      <c r="N69" s="60">
        <v>990.02</v>
      </c>
    </row>
    <row r="70" spans="2:14" x14ac:dyDescent="0.25">
      <c r="C70" t="s">
        <v>47</v>
      </c>
      <c r="F70" s="11"/>
      <c r="G70" s="11"/>
      <c r="H70" s="11"/>
      <c r="I70" s="11">
        <v>1375.08</v>
      </c>
      <c r="K70" s="11"/>
      <c r="L70" s="11">
        <f t="shared" si="4"/>
        <v>1375.08</v>
      </c>
      <c r="M70" s="55" t="s">
        <v>68</v>
      </c>
      <c r="N70" s="60">
        <v>1366.32</v>
      </c>
    </row>
    <row r="71" spans="2:14" x14ac:dyDescent="0.25">
      <c r="C71" t="s">
        <v>48</v>
      </c>
      <c r="F71" s="11"/>
      <c r="G71" s="11"/>
      <c r="H71" s="11"/>
      <c r="I71" s="11"/>
      <c r="K71" s="11"/>
      <c r="L71" s="11">
        <f t="shared" si="4"/>
        <v>0</v>
      </c>
      <c r="M71" s="55" t="s">
        <v>68</v>
      </c>
      <c r="N71" s="60">
        <v>0</v>
      </c>
    </row>
    <row r="72" spans="2:14" x14ac:dyDescent="0.25">
      <c r="D72" t="s">
        <v>296</v>
      </c>
      <c r="F72" s="11"/>
      <c r="G72" s="11"/>
      <c r="H72" s="11"/>
      <c r="I72" s="11">
        <v>2722.5</v>
      </c>
      <c r="K72" s="11"/>
      <c r="L72" s="11">
        <f t="shared" si="4"/>
        <v>2722.5</v>
      </c>
      <c r="M72" s="55" t="s">
        <v>68</v>
      </c>
      <c r="N72" s="60">
        <v>0</v>
      </c>
    </row>
    <row r="74" spans="2:14" x14ac:dyDescent="0.25">
      <c r="D74" t="s">
        <v>298</v>
      </c>
      <c r="F74" s="11"/>
      <c r="G74" s="11"/>
      <c r="H74" s="11"/>
      <c r="I74" s="11">
        <v>299.51</v>
      </c>
      <c r="K74" s="11"/>
      <c r="L74" s="11">
        <f t="shared" si="4"/>
        <v>299.51</v>
      </c>
      <c r="M74" s="55"/>
      <c r="N74" s="60"/>
    </row>
    <row r="75" spans="2:14" x14ac:dyDescent="0.25">
      <c r="D75" t="s">
        <v>279</v>
      </c>
      <c r="F75" s="11"/>
      <c r="G75" s="11"/>
      <c r="H75" s="11"/>
      <c r="I75" s="11"/>
      <c r="J75" s="21" t="s">
        <v>64</v>
      </c>
      <c r="K75" s="11"/>
      <c r="L75" s="11">
        <f>SUM(F75+G75+H75+I75+K75)</f>
        <v>0</v>
      </c>
      <c r="M75" s="55" t="s">
        <v>68</v>
      </c>
      <c r="N75" s="60">
        <v>106.95</v>
      </c>
    </row>
    <row r="76" spans="2:14" x14ac:dyDescent="0.25">
      <c r="D76" t="s">
        <v>277</v>
      </c>
      <c r="F76" s="11"/>
      <c r="G76" s="11"/>
      <c r="H76" s="11"/>
      <c r="I76" s="11"/>
      <c r="K76" s="11"/>
      <c r="L76" s="11">
        <f t="shared" si="4"/>
        <v>0</v>
      </c>
      <c r="M76" s="55" t="s">
        <v>68</v>
      </c>
      <c r="N76" s="60">
        <v>1349</v>
      </c>
    </row>
    <row r="77" spans="2:14" ht="15.75" x14ac:dyDescent="0.25">
      <c r="B77" s="9" t="s">
        <v>50</v>
      </c>
      <c r="F77" s="11"/>
      <c r="G77" s="11"/>
      <c r="H77" s="11"/>
      <c r="I77" s="11"/>
      <c r="K77" s="11"/>
      <c r="L77" s="11">
        <f t="shared" si="4"/>
        <v>0</v>
      </c>
      <c r="M77" s="55" t="s">
        <v>68</v>
      </c>
      <c r="N77" s="60">
        <v>0</v>
      </c>
    </row>
    <row r="78" spans="2:14" x14ac:dyDescent="0.25">
      <c r="C78" t="s">
        <v>51</v>
      </c>
      <c r="F78" s="11"/>
      <c r="G78" s="11"/>
      <c r="H78" s="11"/>
      <c r="I78" s="11">
        <v>8164.4</v>
      </c>
      <c r="K78" s="11"/>
      <c r="L78" s="11">
        <f t="shared" si="4"/>
        <v>8164.4</v>
      </c>
      <c r="M78" s="55" t="s">
        <v>68</v>
      </c>
      <c r="N78" s="60">
        <v>7159.12</v>
      </c>
    </row>
    <row r="79" spans="2:14" x14ac:dyDescent="0.25">
      <c r="C79" t="s">
        <v>221</v>
      </c>
      <c r="F79" s="11"/>
      <c r="G79" s="11"/>
      <c r="I79" s="11">
        <v>1635.5</v>
      </c>
      <c r="K79" s="11"/>
      <c r="L79" s="11">
        <f t="shared" si="4"/>
        <v>1635.5</v>
      </c>
      <c r="M79" s="55" t="s">
        <v>68</v>
      </c>
      <c r="N79" s="60">
        <v>1694.6</v>
      </c>
    </row>
    <row r="80" spans="2:14" x14ac:dyDescent="0.25">
      <c r="C80" t="s">
        <v>52</v>
      </c>
      <c r="F80" s="11"/>
      <c r="G80" s="11"/>
      <c r="H80" s="11"/>
      <c r="I80" s="11">
        <v>573.34</v>
      </c>
      <c r="K80" s="11"/>
      <c r="L80" s="11">
        <f t="shared" si="4"/>
        <v>573.34</v>
      </c>
      <c r="M80" s="55" t="s">
        <v>68</v>
      </c>
      <c r="N80" s="60">
        <v>308.67</v>
      </c>
    </row>
    <row r="81" spans="2:14" x14ac:dyDescent="0.25">
      <c r="C81" t="s">
        <v>53</v>
      </c>
      <c r="F81" s="11"/>
      <c r="G81" s="11"/>
      <c r="H81" s="11"/>
      <c r="I81" s="11">
        <v>457.46</v>
      </c>
      <c r="K81" s="11"/>
      <c r="L81" s="11">
        <f t="shared" si="4"/>
        <v>457.46</v>
      </c>
      <c r="M81" s="55" t="s">
        <v>68</v>
      </c>
      <c r="N81" s="60">
        <v>447.94</v>
      </c>
    </row>
    <row r="82" spans="2:14" x14ac:dyDescent="0.25">
      <c r="C82" t="s">
        <v>197</v>
      </c>
      <c r="F82" s="11"/>
      <c r="G82" s="11"/>
      <c r="H82" s="11"/>
      <c r="I82" s="11">
        <f>92.5+809.89</f>
        <v>902.39</v>
      </c>
      <c r="K82" s="11"/>
      <c r="L82" s="11">
        <f t="shared" si="4"/>
        <v>902.39</v>
      </c>
      <c r="M82" s="55" t="s">
        <v>68</v>
      </c>
      <c r="N82" s="60">
        <v>687.68000000000006</v>
      </c>
    </row>
    <row r="83" spans="2:14" x14ac:dyDescent="0.25">
      <c r="C83" t="s">
        <v>36</v>
      </c>
      <c r="F83" s="11"/>
      <c r="G83" s="11"/>
      <c r="H83" s="11"/>
      <c r="I83" s="11">
        <v>31.1</v>
      </c>
      <c r="K83" s="11"/>
      <c r="L83" s="11">
        <f t="shared" si="4"/>
        <v>31.1</v>
      </c>
      <c r="M83" s="55" t="s">
        <v>68</v>
      </c>
      <c r="N83" s="60">
        <v>55.82</v>
      </c>
    </row>
    <row r="84" spans="2:14" x14ac:dyDescent="0.25">
      <c r="C84" t="s">
        <v>271</v>
      </c>
      <c r="F84" s="11"/>
      <c r="G84" s="11"/>
      <c r="H84" s="11"/>
      <c r="I84" s="11"/>
      <c r="J84" s="21" t="s">
        <v>209</v>
      </c>
      <c r="K84" s="11">
        <v>160</v>
      </c>
      <c r="L84" s="11">
        <f t="shared" si="4"/>
        <v>160</v>
      </c>
      <c r="M84" s="55" t="s">
        <v>68</v>
      </c>
      <c r="N84" s="60">
        <v>317.5</v>
      </c>
    </row>
    <row r="85" spans="2:14" x14ac:dyDescent="0.25">
      <c r="C85" t="s">
        <v>34</v>
      </c>
      <c r="F85" s="11"/>
      <c r="G85" s="11"/>
      <c r="H85" s="11"/>
      <c r="I85" s="11">
        <v>89.31</v>
      </c>
      <c r="K85" s="11"/>
      <c r="L85" s="11">
        <f t="shared" si="4"/>
        <v>89.31</v>
      </c>
      <c r="M85" s="55" t="s">
        <v>68</v>
      </c>
      <c r="N85" s="60">
        <v>89.5</v>
      </c>
    </row>
    <row r="86" spans="2:14" x14ac:dyDescent="0.25">
      <c r="C86" t="s">
        <v>243</v>
      </c>
      <c r="F86" s="11"/>
      <c r="G86" s="11"/>
      <c r="H86" s="11"/>
      <c r="I86" s="11"/>
      <c r="J86" s="21" t="s">
        <v>209</v>
      </c>
      <c r="K86" s="11">
        <v>172.5</v>
      </c>
      <c r="L86" s="11">
        <f t="shared" si="4"/>
        <v>172.5</v>
      </c>
      <c r="M86" s="55" t="s">
        <v>68</v>
      </c>
      <c r="N86" s="60">
        <v>135</v>
      </c>
    </row>
    <row r="87" spans="2:14" ht="15.75" x14ac:dyDescent="0.25">
      <c r="B87" s="9" t="s">
        <v>55</v>
      </c>
      <c r="F87" s="11"/>
      <c r="G87" s="11"/>
      <c r="H87" s="11"/>
      <c r="I87" s="11"/>
      <c r="K87" s="11"/>
      <c r="L87" s="11"/>
      <c r="M87" s="55" t="s">
        <v>68</v>
      </c>
      <c r="N87" s="60"/>
    </row>
    <row r="88" spans="2:14" x14ac:dyDescent="0.25">
      <c r="C88" t="s">
        <v>56</v>
      </c>
      <c r="F88" s="11"/>
      <c r="G88" s="11"/>
      <c r="H88" s="11"/>
      <c r="I88" s="11">
        <f>248.66+47.2+288.34</f>
        <v>584.20000000000005</v>
      </c>
      <c r="K88" s="11"/>
      <c r="L88" s="11">
        <f t="shared" si="4"/>
        <v>584.20000000000005</v>
      </c>
      <c r="M88" s="55" t="s">
        <v>68</v>
      </c>
      <c r="N88" s="60">
        <v>538.79</v>
      </c>
    </row>
    <row r="89" spans="2:14" x14ac:dyDescent="0.25">
      <c r="C89" t="s">
        <v>121</v>
      </c>
      <c r="F89" s="11"/>
      <c r="G89" s="11"/>
      <c r="H89" s="11"/>
      <c r="I89" s="11">
        <v>181.65</v>
      </c>
      <c r="K89" s="11"/>
      <c r="L89" s="11">
        <f t="shared" si="4"/>
        <v>181.65</v>
      </c>
      <c r="M89" s="55" t="s">
        <v>68</v>
      </c>
      <c r="N89" s="60">
        <v>306.33999999999997</v>
      </c>
    </row>
    <row r="90" spans="2:14" x14ac:dyDescent="0.25">
      <c r="C90" t="s">
        <v>59</v>
      </c>
      <c r="F90" s="11"/>
      <c r="G90" s="11"/>
      <c r="H90" s="11">
        <v>404.25</v>
      </c>
      <c r="I90" s="11">
        <v>264.22000000000003</v>
      </c>
      <c r="K90" s="11"/>
      <c r="L90" s="11">
        <f t="shared" si="4"/>
        <v>668.47</v>
      </c>
      <c r="M90" s="55" t="s">
        <v>68</v>
      </c>
      <c r="N90" s="60">
        <v>682.54</v>
      </c>
    </row>
    <row r="91" spans="2:14" x14ac:dyDescent="0.25">
      <c r="F91" s="11"/>
      <c r="G91" s="11"/>
      <c r="H91" s="11"/>
      <c r="I91" s="11"/>
      <c r="K91" s="11"/>
      <c r="L91" s="11">
        <f t="shared" si="4"/>
        <v>0</v>
      </c>
      <c r="M91" s="55" t="s">
        <v>68</v>
      </c>
      <c r="N91" s="60">
        <v>0</v>
      </c>
    </row>
    <row r="92" spans="2:14" ht="15.75" thickBot="1" x14ac:dyDescent="0.3">
      <c r="F92" s="15">
        <f>SUM(F62:F91)</f>
        <v>4.5474735088646412E-12</v>
      </c>
      <c r="G92" s="15">
        <f t="shared" ref="G92:L92" si="5">SUM(G62:G91)</f>
        <v>9.1038288019262836E-14</v>
      </c>
      <c r="H92" s="15">
        <f t="shared" si="5"/>
        <v>0</v>
      </c>
      <c r="I92" s="15">
        <f t="shared" si="5"/>
        <v>0</v>
      </c>
      <c r="J92" s="11"/>
      <c r="K92" s="15">
        <f t="shared" si="5"/>
        <v>0</v>
      </c>
      <c r="L92" s="15">
        <f t="shared" si="5"/>
        <v>1.2619238987099379E-11</v>
      </c>
      <c r="M92" s="55" t="s">
        <v>68</v>
      </c>
      <c r="N92" s="64">
        <v>-3.4106051316484809E-12</v>
      </c>
    </row>
    <row r="93" spans="2:14" ht="15.75" thickTop="1" x14ac:dyDescent="0.25">
      <c r="F93" s="11"/>
      <c r="G93" s="11" t="s">
        <v>116</v>
      </c>
      <c r="H93" s="11" t="s">
        <v>116</v>
      </c>
      <c r="I93" s="11" t="s">
        <v>116</v>
      </c>
      <c r="K93" s="11"/>
      <c r="L93" s="11"/>
      <c r="M93" s="56"/>
      <c r="N93" s="56"/>
    </row>
    <row r="94" spans="2:14" x14ac:dyDescent="0.25">
      <c r="G94" t="s">
        <v>117</v>
      </c>
      <c r="H94" t="s">
        <v>117</v>
      </c>
      <c r="I94" t="s">
        <v>117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1254-9E8A-4DBD-BA1F-7AB6FFC80FF6}">
  <dimension ref="A1:AD57"/>
  <sheetViews>
    <sheetView workbookViewId="0">
      <selection sqref="A1:XFD1048576"/>
    </sheetView>
  </sheetViews>
  <sheetFormatPr defaultRowHeight="15" x14ac:dyDescent="0.25"/>
  <cols>
    <col min="1" max="1" width="2" customWidth="1"/>
    <col min="3" max="3" width="22" customWidth="1"/>
    <col min="4" max="4" width="9.5703125" customWidth="1"/>
    <col min="5" max="5" width="9.7109375" customWidth="1"/>
    <col min="6" max="6" width="1.42578125" customWidth="1"/>
    <col min="7" max="7" width="14.42578125" customWidth="1"/>
    <col min="8" max="8" width="10.28515625" customWidth="1"/>
    <col min="9" max="9" width="2.140625" customWidth="1"/>
    <col min="10" max="10" width="9.5703125" customWidth="1"/>
    <col min="11" max="11" width="9.7109375" customWidth="1"/>
    <col min="12" max="12" width="1.42578125" customWidth="1"/>
    <col min="13" max="13" width="9.7109375" customWidth="1"/>
    <col min="14" max="14" width="10.28515625" customWidth="1"/>
    <col min="15" max="15" width="2.140625" customWidth="1"/>
    <col min="27" max="27" width="13" customWidth="1"/>
    <col min="29" max="29" width="11.42578125" customWidth="1"/>
  </cols>
  <sheetData>
    <row r="1" spans="1:29" ht="21" x14ac:dyDescent="0.35">
      <c r="A1" s="7" t="s">
        <v>0</v>
      </c>
    </row>
    <row r="3" spans="1:29" ht="18.75" x14ac:dyDescent="0.3">
      <c r="A3" s="3" t="s">
        <v>26</v>
      </c>
      <c r="B3" s="3"/>
      <c r="C3" s="3"/>
      <c r="D3" s="2" t="s">
        <v>40</v>
      </c>
      <c r="E3" s="2"/>
      <c r="F3" s="2"/>
      <c r="G3" s="2" t="s">
        <v>39</v>
      </c>
      <c r="H3" s="3"/>
      <c r="I3" s="3"/>
      <c r="J3" s="2" t="s">
        <v>40</v>
      </c>
      <c r="K3" s="2"/>
      <c r="L3" s="2"/>
      <c r="M3" s="2" t="s">
        <v>39</v>
      </c>
      <c r="N3" s="3"/>
      <c r="O3" s="3"/>
    </row>
    <row r="4" spans="1:29" ht="15.75" x14ac:dyDescent="0.25">
      <c r="D4" s="5"/>
      <c r="E4" s="5">
        <v>2025</v>
      </c>
      <c r="G4" s="5"/>
      <c r="H4" s="5">
        <v>2024</v>
      </c>
      <c r="J4" s="5"/>
      <c r="K4" s="5">
        <v>2024</v>
      </c>
      <c r="M4" s="5"/>
      <c r="N4" s="5">
        <v>2023</v>
      </c>
      <c r="S4" s="9"/>
      <c r="W4" s="11"/>
      <c r="X4" s="11"/>
      <c r="Y4" s="11"/>
      <c r="Z4" s="11"/>
      <c r="AA4" s="21"/>
      <c r="AB4" s="11"/>
      <c r="AC4" s="11"/>
    </row>
    <row r="5" spans="1:29" x14ac:dyDescent="0.25">
      <c r="E5" t="s">
        <v>10</v>
      </c>
      <c r="H5" t="s">
        <v>10</v>
      </c>
      <c r="K5" t="s">
        <v>10</v>
      </c>
      <c r="N5" t="s">
        <v>10</v>
      </c>
      <c r="W5" s="11"/>
      <c r="X5" s="11"/>
      <c r="Y5" s="11"/>
      <c r="Z5" s="11"/>
      <c r="AA5" s="21"/>
      <c r="AB5" s="11"/>
      <c r="AC5" s="11"/>
    </row>
    <row r="6" spans="1:29" ht="15.75" x14ac:dyDescent="0.25">
      <c r="A6" s="9" t="s">
        <v>27</v>
      </c>
      <c r="W6" s="11"/>
      <c r="X6" s="11"/>
      <c r="Y6" s="11"/>
      <c r="Z6" s="11"/>
      <c r="AA6" s="21"/>
      <c r="AB6" s="11"/>
      <c r="AC6" s="11"/>
    </row>
    <row r="7" spans="1:29" ht="15.75" x14ac:dyDescent="0.25">
      <c r="A7" t="s">
        <v>227</v>
      </c>
      <c r="D7" s="32"/>
      <c r="E7" s="32">
        <v>12000</v>
      </c>
      <c r="G7" s="25"/>
      <c r="H7" s="25">
        <v>11905</v>
      </c>
      <c r="J7" s="32"/>
      <c r="K7" s="32">
        <v>12500</v>
      </c>
      <c r="M7" s="25"/>
      <c r="N7" s="25">
        <v>11179</v>
      </c>
      <c r="Q7" s="9"/>
      <c r="U7" s="11"/>
      <c r="V7" s="11"/>
      <c r="W7" s="11"/>
      <c r="X7" s="11"/>
      <c r="Y7" s="21"/>
      <c r="Z7" s="11"/>
      <c r="AA7" s="11"/>
      <c r="AB7" s="11"/>
      <c r="AC7" s="11"/>
    </row>
    <row r="8" spans="1:29" x14ac:dyDescent="0.25">
      <c r="A8" t="s">
        <v>29</v>
      </c>
      <c r="D8" s="32"/>
      <c r="E8" s="32">
        <v>900</v>
      </c>
      <c r="G8" s="25"/>
      <c r="H8" s="25">
        <v>885</v>
      </c>
      <c r="J8" s="32"/>
      <c r="K8" s="32">
        <v>1000</v>
      </c>
      <c r="M8" s="25"/>
      <c r="N8" s="25">
        <v>718</v>
      </c>
      <c r="U8" s="11"/>
      <c r="V8" s="11"/>
      <c r="W8" s="11"/>
      <c r="X8" s="11"/>
      <c r="Y8" s="21"/>
      <c r="Z8" s="11"/>
      <c r="AA8" s="11"/>
      <c r="AB8" s="11"/>
      <c r="AC8" s="11"/>
    </row>
    <row r="9" spans="1:29" x14ac:dyDescent="0.25">
      <c r="A9" t="s">
        <v>30</v>
      </c>
      <c r="D9" s="32"/>
      <c r="E9" s="32">
        <v>1500</v>
      </c>
      <c r="G9" s="25"/>
      <c r="H9" s="25">
        <v>1500</v>
      </c>
      <c r="J9" s="32"/>
      <c r="K9" s="32">
        <v>1500</v>
      </c>
      <c r="M9" s="25"/>
      <c r="N9" s="25">
        <v>1500</v>
      </c>
      <c r="U9" s="11"/>
      <c r="V9" s="11"/>
      <c r="W9" s="11"/>
      <c r="X9" s="11"/>
      <c r="Y9" s="21"/>
      <c r="Z9" s="11"/>
      <c r="AA9" s="11"/>
      <c r="AB9" s="11"/>
      <c r="AC9" s="11"/>
    </row>
    <row r="10" spans="1:29" x14ac:dyDescent="0.25">
      <c r="A10" t="s">
        <v>31</v>
      </c>
      <c r="D10" s="32"/>
      <c r="E10" s="32">
        <v>250</v>
      </c>
      <c r="G10" s="25"/>
      <c r="H10" s="25">
        <v>250</v>
      </c>
      <c r="J10" s="32"/>
      <c r="K10" s="32">
        <v>250</v>
      </c>
      <c r="M10" s="25"/>
      <c r="N10" s="25">
        <v>100</v>
      </c>
      <c r="U10" s="11"/>
      <c r="V10" s="11"/>
      <c r="W10" s="11"/>
      <c r="X10" s="11"/>
      <c r="Y10" s="21"/>
      <c r="Z10" s="11"/>
      <c r="AA10" s="11"/>
      <c r="AB10" s="11"/>
      <c r="AC10" s="11"/>
    </row>
    <row r="11" spans="1:29" x14ac:dyDescent="0.25">
      <c r="A11" t="s">
        <v>153</v>
      </c>
      <c r="D11" s="32"/>
      <c r="E11" s="32">
        <v>450</v>
      </c>
      <c r="G11" s="25"/>
      <c r="H11" s="25">
        <v>465</v>
      </c>
      <c r="J11" s="32"/>
      <c r="K11" s="32">
        <v>350</v>
      </c>
      <c r="M11" s="25"/>
      <c r="N11" s="25">
        <v>802</v>
      </c>
      <c r="R11" s="6"/>
      <c r="U11" s="11"/>
      <c r="V11" s="11"/>
      <c r="W11" s="11"/>
      <c r="X11" s="11"/>
      <c r="Y11" s="21"/>
      <c r="Z11" s="11"/>
      <c r="AA11" s="11"/>
      <c r="AB11" s="11"/>
      <c r="AC11" s="11"/>
    </row>
    <row r="12" spans="1:29" x14ac:dyDescent="0.25">
      <c r="A12" t="s">
        <v>199</v>
      </c>
      <c r="D12" s="32"/>
      <c r="E12" s="32">
        <v>300</v>
      </c>
      <c r="G12" s="25"/>
      <c r="H12" s="25">
        <v>325</v>
      </c>
      <c r="J12" s="32"/>
      <c r="K12" s="32">
        <v>200</v>
      </c>
      <c r="M12" s="25"/>
      <c r="N12" s="25">
        <v>25</v>
      </c>
      <c r="U12" s="11"/>
      <c r="V12" s="11"/>
      <c r="W12" s="11"/>
      <c r="X12" s="11"/>
      <c r="Y12" s="21"/>
      <c r="Z12" s="11"/>
      <c r="AA12" s="11"/>
      <c r="AB12" s="11"/>
      <c r="AC12" s="11"/>
    </row>
    <row r="13" spans="1:29" x14ac:dyDescent="0.25">
      <c r="A13" t="s">
        <v>193</v>
      </c>
      <c r="D13" s="32"/>
      <c r="E13" s="32">
        <v>0</v>
      </c>
      <c r="G13" s="25"/>
      <c r="H13" s="25">
        <v>0</v>
      </c>
      <c r="J13" s="32"/>
      <c r="K13" s="32">
        <v>0</v>
      </c>
      <c r="M13" s="25"/>
      <c r="N13" s="25">
        <v>1000</v>
      </c>
      <c r="U13" s="11"/>
      <c r="V13" s="11"/>
      <c r="W13" s="11"/>
      <c r="X13" s="11"/>
      <c r="Y13" s="21"/>
      <c r="Z13" s="11"/>
      <c r="AA13" s="11"/>
      <c r="AB13" s="11"/>
      <c r="AC13" s="11"/>
    </row>
    <row r="14" spans="1:29" x14ac:dyDescent="0.25">
      <c r="A14" t="s">
        <v>172</v>
      </c>
      <c r="D14" s="32"/>
      <c r="E14" s="32">
        <v>400</v>
      </c>
      <c r="G14" s="25"/>
      <c r="H14" s="25">
        <v>800</v>
      </c>
      <c r="J14" s="32"/>
      <c r="K14" s="32">
        <v>0</v>
      </c>
      <c r="M14" s="25"/>
      <c r="N14" s="25">
        <v>0</v>
      </c>
      <c r="P14" s="10" t="s">
        <v>284</v>
      </c>
      <c r="Q14" s="10"/>
      <c r="R14" s="10"/>
      <c r="S14" s="10"/>
      <c r="T14" s="10"/>
      <c r="U14" s="67"/>
      <c r="V14" s="67"/>
      <c r="W14" s="11"/>
      <c r="X14" s="11"/>
      <c r="Y14" s="21"/>
      <c r="Z14" s="11"/>
      <c r="AA14" s="11"/>
      <c r="AB14" s="11"/>
      <c r="AC14" s="11"/>
    </row>
    <row r="15" spans="1:29" x14ac:dyDescent="0.25">
      <c r="A15" t="s">
        <v>152</v>
      </c>
      <c r="D15" s="32"/>
      <c r="E15" s="32">
        <v>1190</v>
      </c>
      <c r="G15" s="25"/>
      <c r="H15" s="25">
        <v>1171</v>
      </c>
      <c r="J15" s="32"/>
      <c r="K15" s="32">
        <v>1000</v>
      </c>
      <c r="M15" s="25"/>
      <c r="N15" s="25">
        <v>1500</v>
      </c>
      <c r="U15" s="11"/>
      <c r="V15" s="11"/>
      <c r="W15" s="11"/>
      <c r="X15" s="11"/>
      <c r="Y15" s="21"/>
      <c r="Z15" s="11"/>
      <c r="AA15" s="11"/>
      <c r="AB15" s="11"/>
      <c r="AC15" s="11"/>
    </row>
    <row r="16" spans="1:29" x14ac:dyDescent="0.25">
      <c r="A16" t="s">
        <v>200</v>
      </c>
      <c r="D16" s="32"/>
      <c r="E16" s="32">
        <v>75</v>
      </c>
      <c r="G16" s="25" t="s">
        <v>64</v>
      </c>
      <c r="H16" s="25">
        <v>112</v>
      </c>
      <c r="J16" s="32"/>
      <c r="K16" s="32">
        <v>200</v>
      </c>
      <c r="M16" s="25" t="s">
        <v>64</v>
      </c>
      <c r="N16" s="25">
        <v>112</v>
      </c>
      <c r="U16" s="11"/>
      <c r="V16" s="11"/>
      <c r="W16" s="11"/>
      <c r="X16" s="11"/>
      <c r="Y16" s="21"/>
      <c r="Z16" s="11"/>
      <c r="AA16" s="11"/>
      <c r="AB16" s="11"/>
      <c r="AC16" s="11"/>
    </row>
    <row r="17" spans="1:30" x14ac:dyDescent="0.25">
      <c r="A17" t="s">
        <v>35</v>
      </c>
      <c r="D17" s="32"/>
      <c r="E17" s="32">
        <v>1800</v>
      </c>
      <c r="G17" s="25"/>
      <c r="H17" s="25">
        <v>1950</v>
      </c>
      <c r="J17" s="32"/>
      <c r="K17" s="32">
        <v>1000</v>
      </c>
      <c r="M17" s="25"/>
      <c r="N17" s="25">
        <v>1700</v>
      </c>
      <c r="U17" s="11"/>
      <c r="V17" s="11"/>
      <c r="W17" s="11"/>
      <c r="X17" s="11"/>
      <c r="Y17" s="21"/>
      <c r="Z17" s="11"/>
      <c r="AA17" s="11"/>
      <c r="AB17" s="11"/>
      <c r="AC17" s="11"/>
    </row>
    <row r="18" spans="1:30" x14ac:dyDescent="0.25">
      <c r="A18" t="s">
        <v>34</v>
      </c>
      <c r="D18" s="32"/>
      <c r="E18" s="32">
        <v>650</v>
      </c>
      <c r="G18" s="25"/>
      <c r="H18" s="25">
        <v>616</v>
      </c>
      <c r="J18" s="32"/>
      <c r="K18" s="32">
        <v>700</v>
      </c>
      <c r="M18" s="25"/>
      <c r="N18" s="25">
        <v>771</v>
      </c>
      <c r="U18" s="11"/>
      <c r="V18" s="11"/>
      <c r="W18" s="11"/>
      <c r="X18" s="11"/>
      <c r="Y18" s="21"/>
      <c r="Z18" s="11"/>
      <c r="AA18" s="11"/>
      <c r="AB18" s="11"/>
      <c r="AC18" s="11"/>
    </row>
    <row r="19" spans="1:30" x14ac:dyDescent="0.25">
      <c r="A19" t="s">
        <v>36</v>
      </c>
      <c r="D19" s="32"/>
      <c r="E19" s="32">
        <v>0</v>
      </c>
      <c r="G19" s="25"/>
      <c r="H19" s="25">
        <v>0</v>
      </c>
      <c r="J19" s="32"/>
      <c r="K19" s="32">
        <v>200</v>
      </c>
      <c r="M19" s="25"/>
      <c r="N19" s="25">
        <v>0</v>
      </c>
      <c r="U19" s="11"/>
      <c r="V19" s="11"/>
      <c r="W19" s="11"/>
      <c r="X19" s="11"/>
      <c r="Y19" s="21"/>
      <c r="Z19" s="11"/>
      <c r="AA19" s="11"/>
      <c r="AB19" s="11"/>
      <c r="AC19" s="11"/>
    </row>
    <row r="20" spans="1:30" x14ac:dyDescent="0.25">
      <c r="A20" t="s">
        <v>201</v>
      </c>
      <c r="D20" s="32"/>
      <c r="E20" s="32">
        <v>250</v>
      </c>
      <c r="G20" s="25"/>
      <c r="H20" s="25">
        <v>249</v>
      </c>
      <c r="J20" s="32"/>
      <c r="K20" s="32">
        <v>250</v>
      </c>
      <c r="M20" s="25"/>
      <c r="N20" s="25">
        <v>687</v>
      </c>
      <c r="U20" s="11"/>
      <c r="V20" s="11"/>
      <c r="W20" s="11"/>
      <c r="X20" s="11"/>
      <c r="Y20" s="21"/>
      <c r="Z20" s="11"/>
      <c r="AA20" s="11"/>
      <c r="AB20" s="11"/>
      <c r="AC20" s="11"/>
    </row>
    <row r="21" spans="1:30" x14ac:dyDescent="0.25">
      <c r="A21" t="s">
        <v>38</v>
      </c>
      <c r="D21" s="32"/>
      <c r="E21" s="32">
        <v>400</v>
      </c>
      <c r="G21" s="25"/>
      <c r="H21" s="25">
        <v>466</v>
      </c>
      <c r="J21" s="32"/>
      <c r="K21" s="32">
        <v>75</v>
      </c>
      <c r="M21" s="25"/>
      <c r="N21" s="25">
        <v>14</v>
      </c>
      <c r="P21" s="10" t="s">
        <v>285</v>
      </c>
      <c r="Q21" s="10"/>
      <c r="R21" s="10"/>
      <c r="S21" s="10"/>
      <c r="T21" s="10"/>
      <c r="U21" s="67"/>
      <c r="V21" s="67"/>
      <c r="W21" s="11"/>
      <c r="X21" s="11"/>
      <c r="Y21" s="21"/>
      <c r="Z21" s="11"/>
      <c r="AA21" s="11"/>
    </row>
    <row r="22" spans="1:30" ht="15.75" x14ac:dyDescent="0.25">
      <c r="A22" s="9" t="s">
        <v>49</v>
      </c>
      <c r="D22" s="32"/>
      <c r="E22" s="34">
        <f>SUM(E7:E21)</f>
        <v>20165</v>
      </c>
      <c r="G22" s="25"/>
      <c r="H22" s="35">
        <f>SUM(H7:H21)</f>
        <v>20694</v>
      </c>
      <c r="J22" s="32"/>
      <c r="K22" s="34">
        <f>SUM(K7:K21)</f>
        <v>19225</v>
      </c>
      <c r="M22" s="25"/>
      <c r="N22" s="35">
        <f>SUM(N7:N21)</f>
        <v>20108</v>
      </c>
      <c r="U22" s="11"/>
      <c r="V22" s="11"/>
      <c r="W22" s="11"/>
      <c r="X22" s="11"/>
      <c r="Y22" s="21"/>
      <c r="Z22" s="11"/>
      <c r="AA22" s="11"/>
    </row>
    <row r="23" spans="1:30" x14ac:dyDescent="0.25">
      <c r="D23" s="32"/>
      <c r="E23" s="32"/>
      <c r="G23" s="25"/>
      <c r="H23" s="25"/>
      <c r="J23" s="32"/>
      <c r="K23" s="32"/>
      <c r="M23" s="25"/>
      <c r="N23" s="25"/>
      <c r="U23" s="11"/>
      <c r="V23" s="11"/>
      <c r="W23" s="11"/>
      <c r="X23" s="11"/>
      <c r="Y23" s="21"/>
      <c r="Z23" s="11"/>
      <c r="AA23" s="11"/>
    </row>
    <row r="24" spans="1:30" ht="18.75" x14ac:dyDescent="0.3">
      <c r="A24" s="3" t="s">
        <v>41</v>
      </c>
      <c r="D24" s="32"/>
      <c r="E24" s="32"/>
      <c r="G24" s="25"/>
      <c r="H24" s="25"/>
      <c r="J24" s="32"/>
      <c r="K24" s="32"/>
      <c r="M24" s="25"/>
      <c r="N24" s="25"/>
      <c r="R24" s="9"/>
      <c r="V24" s="11"/>
      <c r="W24" s="11"/>
      <c r="X24" s="11"/>
      <c r="Y24" s="11"/>
      <c r="Z24" s="21"/>
      <c r="AA24" s="11"/>
      <c r="AB24" s="11"/>
      <c r="AC24" s="56"/>
      <c r="AD24" s="60"/>
    </row>
    <row r="25" spans="1:30" x14ac:dyDescent="0.25">
      <c r="A25" s="2" t="s">
        <v>42</v>
      </c>
      <c r="D25" s="32"/>
      <c r="E25" s="32"/>
      <c r="G25" s="25"/>
      <c r="H25" s="25"/>
      <c r="J25" s="32"/>
      <c r="K25" s="32"/>
      <c r="M25" s="25"/>
      <c r="N25" s="25"/>
      <c r="R25" s="2"/>
      <c r="V25" s="11"/>
      <c r="W25" s="11"/>
      <c r="X25" s="11"/>
      <c r="Y25" s="11"/>
      <c r="Z25" s="21"/>
      <c r="AA25" s="11"/>
      <c r="AB25" s="11"/>
      <c r="AC25" s="56"/>
      <c r="AD25" s="60"/>
    </row>
    <row r="26" spans="1:30" x14ac:dyDescent="0.25">
      <c r="B26" t="s">
        <v>43</v>
      </c>
      <c r="D26" s="32">
        <v>1650</v>
      </c>
      <c r="E26" s="32"/>
      <c r="G26" s="25">
        <v>1492</v>
      </c>
      <c r="H26" s="25"/>
      <c r="J26" s="32">
        <v>2100</v>
      </c>
      <c r="K26" s="32"/>
      <c r="M26" s="25">
        <v>1430</v>
      </c>
      <c r="N26" s="25"/>
      <c r="P26" s="10" t="s">
        <v>286</v>
      </c>
      <c r="Q26" s="10"/>
      <c r="R26" s="10"/>
      <c r="S26" s="10"/>
      <c r="T26" s="10"/>
      <c r="U26" s="10"/>
      <c r="V26" s="67"/>
      <c r="W26" s="11"/>
      <c r="X26" s="11"/>
      <c r="Y26" s="11"/>
      <c r="Z26" s="21"/>
      <c r="AA26" s="11"/>
      <c r="AB26" s="11"/>
      <c r="AC26" s="56"/>
      <c r="AD26" s="60"/>
    </row>
    <row r="27" spans="1:30" x14ac:dyDescent="0.25">
      <c r="B27" t="s">
        <v>103</v>
      </c>
      <c r="D27" s="32"/>
      <c r="E27" s="32"/>
      <c r="G27" s="25"/>
      <c r="H27" s="25"/>
      <c r="J27" s="32"/>
      <c r="K27" s="32"/>
      <c r="M27" s="25"/>
      <c r="N27" s="25"/>
      <c r="V27" s="11"/>
      <c r="W27" s="11"/>
      <c r="X27" s="11"/>
      <c r="Y27" s="11"/>
      <c r="Z27" s="21"/>
      <c r="AA27" s="11"/>
      <c r="AB27" s="11"/>
      <c r="AC27" s="56"/>
      <c r="AD27" s="60"/>
    </row>
    <row r="28" spans="1:30" x14ac:dyDescent="0.25">
      <c r="B28" t="s">
        <v>104</v>
      </c>
      <c r="D28" s="32">
        <v>650</v>
      </c>
      <c r="E28" s="32"/>
      <c r="G28" s="25">
        <v>661</v>
      </c>
      <c r="H28" s="25"/>
      <c r="J28" s="32">
        <v>500</v>
      </c>
      <c r="K28" s="32"/>
      <c r="M28" s="25">
        <v>590</v>
      </c>
      <c r="N28" s="25"/>
      <c r="V28" s="11"/>
      <c r="W28" s="11"/>
      <c r="X28" s="11"/>
      <c r="Y28" s="11"/>
      <c r="Z28" s="21"/>
      <c r="AA28" s="11"/>
      <c r="AB28" s="11"/>
      <c r="AC28" s="56"/>
      <c r="AD28" s="60"/>
    </row>
    <row r="29" spans="1:30" x14ac:dyDescent="0.25">
      <c r="B29" t="s">
        <v>45</v>
      </c>
      <c r="D29" s="32">
        <v>775</v>
      </c>
      <c r="E29" s="32"/>
      <c r="G29" s="25">
        <v>740</v>
      </c>
      <c r="H29" s="25"/>
      <c r="J29" s="32">
        <v>700</v>
      </c>
      <c r="K29" s="32"/>
      <c r="M29" s="25">
        <v>694</v>
      </c>
      <c r="N29" s="25"/>
      <c r="V29" s="11"/>
      <c r="W29" s="11"/>
      <c r="X29" s="11"/>
      <c r="Y29" s="11"/>
      <c r="Z29" s="21"/>
      <c r="AA29" s="11"/>
      <c r="AB29" s="11"/>
      <c r="AC29" s="56"/>
      <c r="AD29" s="60"/>
    </row>
    <row r="30" spans="1:30" x14ac:dyDescent="0.25">
      <c r="B30" t="s">
        <v>46</v>
      </c>
      <c r="D30" s="32">
        <v>800</v>
      </c>
      <c r="E30" s="32"/>
      <c r="G30" s="25">
        <v>990</v>
      </c>
      <c r="H30" s="25"/>
      <c r="J30" s="32">
        <v>700</v>
      </c>
      <c r="K30" s="32"/>
      <c r="M30" s="25">
        <v>631</v>
      </c>
      <c r="N30" s="25"/>
      <c r="V30" s="11"/>
      <c r="W30" s="11"/>
      <c r="X30" s="11"/>
      <c r="Y30" s="11"/>
      <c r="Z30" s="21"/>
      <c r="AA30" s="11"/>
      <c r="AB30" s="11"/>
      <c r="AC30" s="56"/>
      <c r="AD30" s="60"/>
    </row>
    <row r="31" spans="1:30" x14ac:dyDescent="0.25">
      <c r="B31" t="s">
        <v>47</v>
      </c>
      <c r="D31" s="32">
        <v>1375</v>
      </c>
      <c r="E31" s="32"/>
      <c r="G31" s="25">
        <v>1366</v>
      </c>
      <c r="H31" s="25"/>
      <c r="J31" s="32">
        <v>1300</v>
      </c>
      <c r="K31" s="32"/>
      <c r="M31" s="25">
        <v>1285</v>
      </c>
      <c r="N31" s="25"/>
      <c r="V31" s="11"/>
      <c r="W31" s="11"/>
      <c r="X31" s="11"/>
      <c r="Y31" s="11"/>
      <c r="Z31" s="21"/>
      <c r="AA31" s="11"/>
      <c r="AB31" s="11"/>
      <c r="AC31" s="56"/>
      <c r="AD31" s="60"/>
    </row>
    <row r="32" spans="1:30" x14ac:dyDescent="0.25">
      <c r="B32" s="45" t="s">
        <v>163</v>
      </c>
      <c r="C32" s="45"/>
      <c r="D32" s="51">
        <v>0</v>
      </c>
      <c r="E32" s="32"/>
      <c r="G32" s="51">
        <v>1349</v>
      </c>
      <c r="H32" s="25"/>
      <c r="J32" s="51">
        <v>1015</v>
      </c>
      <c r="K32" s="32"/>
      <c r="M32" s="51">
        <v>3344</v>
      </c>
      <c r="N32" s="25"/>
      <c r="P32" s="10" t="s">
        <v>288</v>
      </c>
      <c r="Q32" s="10"/>
      <c r="R32" s="10"/>
      <c r="S32" s="10"/>
      <c r="T32" s="10"/>
      <c r="U32" s="10"/>
      <c r="V32" s="67"/>
      <c r="W32" s="11"/>
      <c r="X32" s="11"/>
      <c r="Y32" s="11"/>
      <c r="Z32" s="21"/>
      <c r="AA32" s="11"/>
      <c r="AB32" s="11"/>
      <c r="AC32" s="56"/>
      <c r="AD32" s="60"/>
    </row>
    <row r="33" spans="1:30" x14ac:dyDescent="0.25">
      <c r="D33" s="32"/>
      <c r="E33" s="32">
        <f>SUM(D26:D32)</f>
        <v>5250</v>
      </c>
      <c r="G33" s="25"/>
      <c r="H33" s="25">
        <f>SUM(G26:G32)</f>
        <v>6598</v>
      </c>
      <c r="J33" s="32"/>
      <c r="K33" s="32">
        <f>SUM(J26:J32)</f>
        <v>6315</v>
      </c>
      <c r="M33" s="25"/>
      <c r="N33" s="25">
        <f>SUM(M26:M32)</f>
        <v>7974</v>
      </c>
      <c r="V33" s="11"/>
      <c r="W33" s="11"/>
      <c r="X33" s="11"/>
      <c r="Y33" s="11"/>
      <c r="Z33" s="21"/>
      <c r="AA33" s="11"/>
      <c r="AB33" s="11"/>
      <c r="AC33" s="56"/>
      <c r="AD33" s="60"/>
    </row>
    <row r="34" spans="1:30" ht="15.75" x14ac:dyDescent="0.25">
      <c r="A34" s="9" t="s">
        <v>50</v>
      </c>
      <c r="D34" s="32"/>
      <c r="E34" s="32"/>
      <c r="G34" s="25"/>
      <c r="H34" s="25"/>
      <c r="J34" s="32"/>
      <c r="K34" s="32"/>
      <c r="M34" s="25"/>
      <c r="N34" s="25"/>
      <c r="V34" s="11"/>
      <c r="W34" s="11"/>
      <c r="X34" s="11"/>
      <c r="Y34" s="11"/>
      <c r="Z34" s="21"/>
      <c r="AA34" s="11"/>
      <c r="AB34" s="11"/>
      <c r="AC34" s="56"/>
      <c r="AD34" s="60"/>
    </row>
    <row r="35" spans="1:30" x14ac:dyDescent="0.25">
      <c r="B35" t="s">
        <v>51</v>
      </c>
      <c r="D35" s="32">
        <v>9000</v>
      </c>
      <c r="E35" s="32"/>
      <c r="G35" s="25">
        <v>8854</v>
      </c>
      <c r="H35" s="25"/>
      <c r="J35" s="32">
        <v>8750</v>
      </c>
      <c r="K35" s="32"/>
      <c r="M35" s="25">
        <v>8565</v>
      </c>
      <c r="N35" s="25"/>
      <c r="V35" s="11"/>
      <c r="W35" s="11"/>
      <c r="X35" s="11"/>
      <c r="Y35" s="11"/>
      <c r="Z35" s="21"/>
      <c r="AA35" s="11"/>
      <c r="AB35" s="11"/>
      <c r="AC35" s="56"/>
      <c r="AD35" s="60"/>
    </row>
    <row r="36" spans="1:30" ht="15.75" x14ac:dyDescent="0.25">
      <c r="B36" t="s">
        <v>52</v>
      </c>
      <c r="D36" s="32">
        <v>400</v>
      </c>
      <c r="E36" s="32"/>
      <c r="G36" s="25">
        <v>309</v>
      </c>
      <c r="H36" s="25"/>
      <c r="J36" s="32">
        <v>400</v>
      </c>
      <c r="K36" s="32"/>
      <c r="M36" s="25">
        <v>467</v>
      </c>
      <c r="N36" s="25"/>
      <c r="R36" s="9"/>
      <c r="V36" s="11"/>
      <c r="W36" s="11"/>
      <c r="X36" s="11"/>
      <c r="Y36" s="11"/>
      <c r="Z36" s="21"/>
      <c r="AA36" s="11"/>
      <c r="AB36" s="11"/>
      <c r="AC36" s="56"/>
      <c r="AD36" s="60"/>
    </row>
    <row r="37" spans="1:30" x14ac:dyDescent="0.25">
      <c r="B37" t="s">
        <v>53</v>
      </c>
      <c r="D37" s="32">
        <v>500</v>
      </c>
      <c r="E37" s="32"/>
      <c r="G37" s="25">
        <v>448</v>
      </c>
      <c r="H37" s="25"/>
      <c r="J37" s="32">
        <v>500</v>
      </c>
      <c r="K37" s="32"/>
      <c r="M37" s="25">
        <v>702</v>
      </c>
      <c r="N37" s="25"/>
      <c r="V37" s="11"/>
      <c r="W37" s="11"/>
      <c r="X37" s="11"/>
      <c r="Y37" s="11"/>
      <c r="Z37" s="21"/>
      <c r="AA37" s="11"/>
      <c r="AB37" s="11"/>
      <c r="AC37" s="56"/>
      <c r="AD37" s="60"/>
    </row>
    <row r="38" spans="1:30" x14ac:dyDescent="0.25">
      <c r="B38" t="s">
        <v>184</v>
      </c>
      <c r="D38" s="32">
        <v>160</v>
      </c>
      <c r="E38" s="32"/>
      <c r="G38" s="25">
        <v>317</v>
      </c>
      <c r="H38" s="25"/>
      <c r="J38" s="32">
        <v>175</v>
      </c>
      <c r="K38" s="32"/>
      <c r="M38" s="25">
        <v>522</v>
      </c>
      <c r="N38" s="25"/>
      <c r="P38" s="10" t="s">
        <v>287</v>
      </c>
      <c r="Q38" s="10"/>
      <c r="R38" s="10"/>
      <c r="S38" s="10"/>
      <c r="T38" s="10"/>
      <c r="U38" s="10"/>
      <c r="V38" s="67"/>
      <c r="W38" s="11"/>
      <c r="Y38" s="11"/>
      <c r="Z38" s="21"/>
      <c r="AA38" s="11"/>
      <c r="AB38" s="11"/>
      <c r="AC38" s="56"/>
      <c r="AD38" s="60"/>
    </row>
    <row r="39" spans="1:30" x14ac:dyDescent="0.25">
      <c r="B39" t="s">
        <v>231</v>
      </c>
      <c r="D39" s="32">
        <v>175</v>
      </c>
      <c r="E39" s="32"/>
      <c r="G39" s="25">
        <v>135</v>
      </c>
      <c r="H39" s="25"/>
      <c r="J39" s="32">
        <v>150</v>
      </c>
      <c r="K39" s="32"/>
      <c r="M39" s="25">
        <v>188</v>
      </c>
      <c r="N39" s="25"/>
      <c r="V39" s="11"/>
      <c r="W39" s="11"/>
      <c r="X39" s="11"/>
      <c r="Y39" s="11"/>
      <c r="Z39" s="21"/>
      <c r="AA39" s="11"/>
      <c r="AB39" s="11"/>
      <c r="AC39" s="56"/>
      <c r="AD39" s="60"/>
    </row>
    <row r="40" spans="1:30" x14ac:dyDescent="0.25">
      <c r="B40" t="s">
        <v>54</v>
      </c>
      <c r="D40" s="32">
        <v>500</v>
      </c>
      <c r="E40" s="32"/>
      <c r="G40" s="25">
        <f>688+107</f>
        <v>795</v>
      </c>
      <c r="H40" s="25"/>
      <c r="J40" s="32">
        <v>500</v>
      </c>
      <c r="K40" s="32"/>
      <c r="M40" s="25">
        <v>632</v>
      </c>
      <c r="N40" s="25"/>
      <c r="V40" s="11"/>
      <c r="W40" s="11"/>
      <c r="X40" s="11"/>
      <c r="Y40" s="11"/>
      <c r="Z40" s="21"/>
      <c r="AA40" s="11"/>
      <c r="AB40" s="11"/>
    </row>
    <row r="41" spans="1:30" x14ac:dyDescent="0.25">
      <c r="B41" t="s">
        <v>34</v>
      </c>
      <c r="D41" s="32">
        <v>100</v>
      </c>
      <c r="E41" s="32"/>
      <c r="G41" s="25">
        <v>89</v>
      </c>
      <c r="H41" s="25"/>
      <c r="J41" s="32">
        <v>100</v>
      </c>
      <c r="K41" s="32"/>
      <c r="M41" s="25">
        <v>97</v>
      </c>
      <c r="N41" s="25"/>
      <c r="V41" s="11"/>
      <c r="W41" s="11"/>
      <c r="X41" s="11"/>
      <c r="Y41" s="11"/>
      <c r="Z41" s="21"/>
      <c r="AA41" s="11"/>
      <c r="AB41" s="11"/>
    </row>
    <row r="42" spans="1:30" x14ac:dyDescent="0.25">
      <c r="B42" t="s">
        <v>36</v>
      </c>
      <c r="D42" s="33">
        <v>100</v>
      </c>
      <c r="E42" s="32"/>
      <c r="G42" s="28">
        <v>56</v>
      </c>
      <c r="H42" s="25"/>
      <c r="J42" s="33">
        <v>100</v>
      </c>
      <c r="K42" s="32"/>
      <c r="M42" s="28">
        <v>203</v>
      </c>
      <c r="N42" s="25"/>
      <c r="V42" s="11"/>
      <c r="W42" s="11"/>
      <c r="X42" s="11"/>
      <c r="Y42" s="11"/>
      <c r="Z42" s="21"/>
      <c r="AA42" s="11"/>
      <c r="AB42" s="11"/>
    </row>
    <row r="43" spans="1:30" x14ac:dyDescent="0.25">
      <c r="D43" s="32"/>
      <c r="E43" s="32">
        <f>SUM(D35:D42)</f>
        <v>10935</v>
      </c>
      <c r="G43" s="25"/>
      <c r="H43" s="25">
        <f>SUM(G35:G42)</f>
        <v>11003</v>
      </c>
      <c r="J43" s="32"/>
      <c r="K43" s="32">
        <f>SUM(J35:J42)</f>
        <v>10675</v>
      </c>
      <c r="M43" s="25"/>
      <c r="N43" s="25">
        <f>SUM(M35:M42)</f>
        <v>11376</v>
      </c>
      <c r="V43" s="11"/>
      <c r="W43" s="11"/>
      <c r="X43" s="11"/>
      <c r="Y43" s="11"/>
      <c r="Z43" s="21"/>
      <c r="AA43" s="11"/>
      <c r="AB43" s="11"/>
    </row>
    <row r="44" spans="1:30" ht="15.75" x14ac:dyDescent="0.25">
      <c r="A44" s="9" t="s">
        <v>55</v>
      </c>
      <c r="D44" s="32"/>
      <c r="E44" s="32"/>
      <c r="G44" s="25"/>
      <c r="H44" s="25"/>
      <c r="J44" s="32"/>
      <c r="K44" s="32"/>
      <c r="M44" s="25"/>
      <c r="N44" s="25"/>
      <c r="V44" s="11"/>
      <c r="W44" s="11"/>
      <c r="X44" s="11"/>
      <c r="Y44" s="11"/>
      <c r="Z44" s="21"/>
      <c r="AA44" s="11"/>
      <c r="AB44" s="11"/>
    </row>
    <row r="45" spans="1:30" x14ac:dyDescent="0.25">
      <c r="B45" t="s">
        <v>56</v>
      </c>
      <c r="D45" s="32">
        <v>500</v>
      </c>
      <c r="E45" s="32"/>
      <c r="G45" s="25">
        <v>539</v>
      </c>
      <c r="H45" s="25"/>
      <c r="J45" s="32">
        <v>500</v>
      </c>
      <c r="K45" s="32"/>
      <c r="M45" s="25">
        <v>103</v>
      </c>
      <c r="N45" s="25"/>
      <c r="V45" s="11"/>
      <c r="W45" s="11"/>
      <c r="X45" s="11"/>
      <c r="Y45" s="11"/>
      <c r="Z45" s="21"/>
      <c r="AA45" s="11"/>
      <c r="AB45" s="11"/>
    </row>
    <row r="46" spans="1:30" ht="15.75" x14ac:dyDescent="0.25">
      <c r="B46" t="s">
        <v>121</v>
      </c>
      <c r="D46" s="32">
        <v>500</v>
      </c>
      <c r="E46" s="32"/>
      <c r="G46" s="25">
        <v>306</v>
      </c>
      <c r="H46" s="25"/>
      <c r="J46" s="32">
        <v>700</v>
      </c>
      <c r="K46" s="32"/>
      <c r="M46" s="25">
        <v>613</v>
      </c>
      <c r="N46" s="25"/>
      <c r="R46" s="9"/>
      <c r="V46" s="11"/>
      <c r="W46" s="11"/>
      <c r="X46" s="11"/>
      <c r="Y46" s="11"/>
      <c r="Z46" s="21"/>
      <c r="AA46" s="11"/>
      <c r="AB46" s="11"/>
    </row>
    <row r="47" spans="1:30" x14ac:dyDescent="0.25">
      <c r="B47" t="s">
        <v>59</v>
      </c>
      <c r="D47" s="33">
        <v>700</v>
      </c>
      <c r="E47" s="32"/>
      <c r="G47" s="28">
        <v>683</v>
      </c>
      <c r="H47" s="25"/>
      <c r="J47" s="33">
        <v>685</v>
      </c>
      <c r="K47" s="32"/>
      <c r="M47" s="28">
        <v>661</v>
      </c>
      <c r="N47" s="25"/>
      <c r="V47" s="11"/>
      <c r="W47" s="11"/>
      <c r="X47" s="11"/>
      <c r="Y47" s="11"/>
      <c r="Z47" s="21"/>
      <c r="AA47" s="11"/>
      <c r="AB47" s="11"/>
    </row>
    <row r="48" spans="1:30" x14ac:dyDescent="0.25">
      <c r="D48" s="32"/>
      <c r="E48" s="33">
        <f>SUM(D45:D47)</f>
        <v>1700</v>
      </c>
      <c r="G48" s="25"/>
      <c r="H48" s="28">
        <f>SUM(G45:G47)</f>
        <v>1528</v>
      </c>
      <c r="J48" s="32"/>
      <c r="K48" s="33">
        <f>SUM(J45:J47)</f>
        <v>1885</v>
      </c>
      <c r="M48" s="25"/>
      <c r="N48" s="28">
        <f>SUM(M45:M47)</f>
        <v>1377</v>
      </c>
      <c r="V48" s="11"/>
      <c r="W48" s="11"/>
      <c r="X48" s="11"/>
      <c r="Y48" s="11"/>
      <c r="Z48" s="21"/>
      <c r="AA48" s="11"/>
      <c r="AB48" s="11"/>
    </row>
    <row r="49" spans="1:28" ht="15.75" x14ac:dyDescent="0.25">
      <c r="A49" s="9" t="s">
        <v>60</v>
      </c>
      <c r="D49" s="32"/>
      <c r="E49" s="34">
        <f>SUM(E24:E48)</f>
        <v>17885</v>
      </c>
      <c r="G49" s="25"/>
      <c r="H49" s="35">
        <f>SUM(H24:H48)</f>
        <v>19129</v>
      </c>
      <c r="J49" s="32"/>
      <c r="K49" s="34">
        <f>SUM(K24:K48)</f>
        <v>18875</v>
      </c>
      <c r="M49" s="25"/>
      <c r="N49" s="35">
        <f>SUM(N24:N48)</f>
        <v>20727</v>
      </c>
      <c r="V49" s="11"/>
      <c r="W49" s="11"/>
      <c r="X49" s="11"/>
      <c r="Y49" s="11"/>
      <c r="Z49" s="21"/>
      <c r="AA49" s="11"/>
      <c r="AB49" s="11"/>
    </row>
    <row r="50" spans="1:28" x14ac:dyDescent="0.25">
      <c r="D50" s="32"/>
      <c r="E50" s="32"/>
      <c r="G50" s="25"/>
      <c r="H50" s="25"/>
      <c r="J50" s="32"/>
      <c r="K50" s="32"/>
      <c r="M50" s="25"/>
      <c r="N50" s="25"/>
    </row>
    <row r="51" spans="1:28" ht="15.75" thickBot="1" x14ac:dyDescent="0.3">
      <c r="A51" t="s">
        <v>61</v>
      </c>
      <c r="D51" s="32"/>
      <c r="E51" s="36">
        <f>E22-E49</f>
        <v>2280</v>
      </c>
      <c r="G51" s="25"/>
      <c r="H51" s="37">
        <f>H22-H49</f>
        <v>1565</v>
      </c>
      <c r="J51" s="32"/>
      <c r="K51" s="36">
        <f>K22-K49</f>
        <v>350</v>
      </c>
      <c r="M51" s="25"/>
      <c r="N51" s="37">
        <f>N22-N49</f>
        <v>-619</v>
      </c>
    </row>
    <row r="52" spans="1:28" ht="15.75" thickTop="1" x14ac:dyDescent="0.25"/>
    <row r="53" spans="1:28" x14ac:dyDescent="0.25">
      <c r="A53" s="44" t="s">
        <v>163</v>
      </c>
      <c r="B53" s="44"/>
      <c r="C53" s="44"/>
      <c r="D53" s="44"/>
      <c r="E53" s="53"/>
      <c r="F53" s="44" t="s">
        <v>163</v>
      </c>
      <c r="G53" s="45"/>
      <c r="H53" s="45"/>
      <c r="J53" s="53"/>
      <c r="K53" s="53"/>
      <c r="L53" s="44" t="s">
        <v>163</v>
      </c>
      <c r="M53" s="45"/>
      <c r="N53" s="45"/>
    </row>
    <row r="54" spans="1:28" x14ac:dyDescent="0.25">
      <c r="A54" s="45"/>
      <c r="B54" s="45" t="s">
        <v>290</v>
      </c>
      <c r="C54" s="45"/>
      <c r="D54" s="46"/>
      <c r="F54" s="45"/>
      <c r="G54" s="45"/>
      <c r="H54" s="46"/>
      <c r="J54" s="25"/>
      <c r="L54" s="45" t="s">
        <v>248</v>
      </c>
      <c r="M54" s="45"/>
      <c r="N54" s="46">
        <v>2295</v>
      </c>
      <c r="P54" s="10" t="s">
        <v>289</v>
      </c>
      <c r="Q54" s="10"/>
      <c r="R54" s="10"/>
      <c r="S54" s="10"/>
      <c r="T54" s="10"/>
      <c r="U54" s="10"/>
      <c r="V54" s="10"/>
      <c r="W54" s="10"/>
    </row>
    <row r="55" spans="1:28" x14ac:dyDescent="0.25">
      <c r="A55" s="45"/>
      <c r="B55" s="45"/>
      <c r="C55" s="45"/>
      <c r="D55" s="46"/>
      <c r="F55" s="45" t="s">
        <v>206</v>
      </c>
      <c r="G55" s="45"/>
      <c r="H55" s="46">
        <v>1349</v>
      </c>
      <c r="J55" s="25"/>
      <c r="L55" s="45" t="s">
        <v>206</v>
      </c>
      <c r="M55" s="45"/>
      <c r="N55" s="46">
        <v>1049</v>
      </c>
    </row>
    <row r="56" spans="1:28" ht="15.75" thickBot="1" x14ac:dyDescent="0.3">
      <c r="A56" s="45"/>
      <c r="B56" s="45"/>
      <c r="C56" s="45"/>
      <c r="D56" s="46"/>
      <c r="F56" s="45"/>
      <c r="G56" s="45"/>
      <c r="H56" s="47">
        <f>SUM(H54:H55)</f>
        <v>1349</v>
      </c>
      <c r="J56" s="25"/>
      <c r="L56" s="45"/>
      <c r="M56" s="45"/>
      <c r="N56" s="47">
        <f>SUM(N54:N55)</f>
        <v>3344</v>
      </c>
    </row>
    <row r="57" spans="1:28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7994-6F97-42F0-86A2-1EECF4B46E7C}">
  <dimension ref="A1:U32"/>
  <sheetViews>
    <sheetView workbookViewId="0">
      <selection sqref="A1:XFD1048576"/>
    </sheetView>
  </sheetViews>
  <sheetFormatPr defaultRowHeight="15" x14ac:dyDescent="0.25"/>
  <cols>
    <col min="1" max="1" width="2" customWidth="1"/>
    <col min="2" max="2" width="36.5703125" customWidth="1"/>
    <col min="3" max="3" width="14.5703125" customWidth="1"/>
    <col min="4" max="4" width="13" customWidth="1"/>
    <col min="5" max="5" width="2" customWidth="1"/>
    <col min="6" max="6" width="14.5703125" customWidth="1"/>
    <col min="7" max="7" width="13" customWidth="1"/>
    <col min="8" max="8" width="2.140625" customWidth="1"/>
  </cols>
  <sheetData>
    <row r="1" spans="1:21" ht="21" x14ac:dyDescent="0.35">
      <c r="A1" s="7" t="s">
        <v>0</v>
      </c>
      <c r="B1" s="7"/>
      <c r="C1" s="7"/>
      <c r="D1" s="7"/>
      <c r="E1" s="7"/>
      <c r="F1" s="7"/>
      <c r="G1" s="7"/>
      <c r="H1" s="7"/>
    </row>
    <row r="3" spans="1:21" ht="21" x14ac:dyDescent="0.35">
      <c r="A3" s="8" t="s">
        <v>1</v>
      </c>
    </row>
    <row r="4" spans="1:21" x14ac:dyDescent="0.25">
      <c r="D4" s="49">
        <v>45657</v>
      </c>
      <c r="G4" s="49">
        <v>45291</v>
      </c>
      <c r="S4" s="21"/>
    </row>
    <row r="5" spans="1:21" ht="18.75" x14ac:dyDescent="0.3">
      <c r="B5" s="3" t="s">
        <v>2</v>
      </c>
      <c r="D5" s="4" t="s">
        <v>9</v>
      </c>
      <c r="E5" s="3"/>
      <c r="G5" s="4" t="s">
        <v>9</v>
      </c>
      <c r="H5" s="3"/>
      <c r="O5" s="4"/>
      <c r="P5" s="4"/>
      <c r="Q5" s="4"/>
      <c r="R5" s="4"/>
      <c r="S5" s="23"/>
      <c r="T5" s="4"/>
      <c r="U5" s="4"/>
    </row>
    <row r="6" spans="1:21" x14ac:dyDescent="0.25">
      <c r="A6" s="2" t="s">
        <v>12</v>
      </c>
      <c r="C6" s="25"/>
      <c r="D6" s="25"/>
      <c r="F6" s="25"/>
      <c r="G6" s="25"/>
      <c r="O6" s="11"/>
      <c r="P6" s="11"/>
      <c r="Q6" s="11"/>
      <c r="R6" s="11"/>
      <c r="S6" s="21"/>
      <c r="T6" s="11"/>
      <c r="U6" s="11"/>
    </row>
    <row r="7" spans="1:21" x14ac:dyDescent="0.25">
      <c r="B7" t="s">
        <v>13</v>
      </c>
      <c r="C7" s="25"/>
      <c r="D7" s="26" t="s">
        <v>11</v>
      </c>
      <c r="F7" s="25"/>
      <c r="G7" s="26" t="s">
        <v>11</v>
      </c>
      <c r="K7" s="6"/>
      <c r="O7" s="11"/>
      <c r="P7" s="11"/>
      <c r="Q7" s="11"/>
      <c r="R7" s="11"/>
      <c r="S7" s="21"/>
      <c r="T7" s="11"/>
      <c r="U7" s="11"/>
    </row>
    <row r="8" spans="1:21" x14ac:dyDescent="0.25">
      <c r="C8" s="25"/>
      <c r="D8" s="25"/>
      <c r="F8" s="25"/>
      <c r="G8" s="25"/>
      <c r="K8" s="6"/>
      <c r="L8" s="6"/>
      <c r="O8" s="60"/>
      <c r="P8" s="11"/>
      <c r="Q8" s="11"/>
      <c r="R8" s="11"/>
      <c r="S8" s="21"/>
      <c r="T8" s="11"/>
      <c r="U8" s="11"/>
    </row>
    <row r="9" spans="1:21" x14ac:dyDescent="0.25">
      <c r="A9" s="2" t="s">
        <v>3</v>
      </c>
      <c r="C9" s="25"/>
      <c r="D9" s="25"/>
      <c r="F9" s="25"/>
      <c r="G9" s="25"/>
      <c r="K9" s="6"/>
      <c r="L9" s="6"/>
      <c r="O9" s="60"/>
      <c r="P9" s="11"/>
      <c r="Q9" s="11"/>
      <c r="R9" s="11"/>
      <c r="S9" s="21"/>
      <c r="T9" s="11"/>
      <c r="U9" s="11"/>
    </row>
    <row r="10" spans="1:21" x14ac:dyDescent="0.25">
      <c r="B10" t="s">
        <v>283</v>
      </c>
      <c r="C10" s="25">
        <v>0</v>
      </c>
      <c r="D10" s="25"/>
      <c r="F10" s="25">
        <v>434</v>
      </c>
      <c r="G10" s="25"/>
      <c r="L10" s="6"/>
      <c r="O10" s="60"/>
      <c r="P10" s="11"/>
      <c r="Q10" s="11"/>
      <c r="R10" s="11"/>
      <c r="S10" s="21"/>
      <c r="T10" s="11"/>
      <c r="U10" s="11"/>
    </row>
    <row r="11" spans="1:21" x14ac:dyDescent="0.25">
      <c r="B11" s="6" t="s">
        <v>20</v>
      </c>
      <c r="C11" s="21">
        <v>130</v>
      </c>
      <c r="F11">
        <v>225</v>
      </c>
      <c r="K11" s="6"/>
      <c r="O11" s="60"/>
      <c r="P11" s="11"/>
      <c r="Q11" s="11"/>
      <c r="R11" s="11"/>
      <c r="S11" s="21"/>
      <c r="T11" s="11"/>
      <c r="U11" s="11"/>
    </row>
    <row r="12" spans="1:21" x14ac:dyDescent="0.25">
      <c r="B12" s="6" t="s">
        <v>178</v>
      </c>
      <c r="C12" s="21">
        <v>42.5</v>
      </c>
      <c r="F12">
        <v>83</v>
      </c>
      <c r="K12" s="2"/>
      <c r="L12" s="6"/>
      <c r="O12" s="60"/>
      <c r="P12" s="11"/>
      <c r="Q12" s="11"/>
      <c r="R12" s="11"/>
      <c r="S12" s="21"/>
      <c r="T12" s="11"/>
      <c r="U12" s="11"/>
    </row>
    <row r="13" spans="1:21" x14ac:dyDescent="0.25">
      <c r="B13" t="s">
        <v>155</v>
      </c>
      <c r="C13" s="22">
        <v>160</v>
      </c>
      <c r="F13" s="28">
        <v>477</v>
      </c>
      <c r="L13" s="2"/>
      <c r="O13" s="60"/>
      <c r="P13" s="11"/>
      <c r="Q13" s="11"/>
      <c r="R13" s="11"/>
      <c r="S13" s="21"/>
      <c r="T13" s="11"/>
      <c r="U13" s="11"/>
    </row>
    <row r="14" spans="1:21" x14ac:dyDescent="0.25">
      <c r="C14" s="25"/>
      <c r="D14" s="25">
        <f>SUM(C10:C13)</f>
        <v>332.5</v>
      </c>
      <c r="F14" s="25"/>
      <c r="G14" s="25">
        <f>SUM(F10:F13)</f>
        <v>1219</v>
      </c>
      <c r="O14" s="60"/>
      <c r="P14" s="11"/>
      <c r="Q14" s="11"/>
      <c r="R14" s="11"/>
      <c r="S14" s="21"/>
      <c r="T14" s="11"/>
      <c r="U14" s="11"/>
    </row>
    <row r="15" spans="1:21" x14ac:dyDescent="0.25">
      <c r="A15" s="2" t="s">
        <v>5</v>
      </c>
      <c r="B15" s="2"/>
      <c r="C15" s="29"/>
      <c r="D15" s="29"/>
      <c r="E15" s="2"/>
      <c r="F15" s="29"/>
      <c r="G15" s="29"/>
      <c r="H15" s="6"/>
      <c r="O15" s="60"/>
      <c r="P15" s="11"/>
      <c r="Q15" s="11"/>
      <c r="R15" s="11"/>
      <c r="S15" s="21"/>
      <c r="T15" s="11"/>
      <c r="U15" s="11"/>
    </row>
    <row r="16" spans="1:21" x14ac:dyDescent="0.25">
      <c r="B16" t="s">
        <v>6</v>
      </c>
      <c r="C16" s="25">
        <v>1100</v>
      </c>
      <c r="D16" s="25"/>
      <c r="F16" s="25">
        <v>339</v>
      </c>
      <c r="G16" s="25"/>
      <c r="O16" s="60"/>
      <c r="P16" s="11"/>
      <c r="Q16" s="11"/>
      <c r="R16" s="11"/>
      <c r="S16" s="21"/>
      <c r="T16" s="11"/>
      <c r="U16" s="11"/>
    </row>
    <row r="17" spans="1:21" x14ac:dyDescent="0.25">
      <c r="B17" t="s">
        <v>281</v>
      </c>
      <c r="C17" s="25">
        <v>45484</v>
      </c>
      <c r="D17" s="25"/>
      <c r="F17" s="25">
        <f>45018</f>
        <v>45018</v>
      </c>
      <c r="G17" s="25"/>
      <c r="H17" s="2"/>
      <c r="O17" s="60"/>
      <c r="P17" s="11"/>
      <c r="Q17" s="11"/>
      <c r="R17" s="11"/>
      <c r="S17" s="21"/>
      <c r="T17" s="11"/>
      <c r="U17" s="11"/>
    </row>
    <row r="18" spans="1:21" x14ac:dyDescent="0.25">
      <c r="B18" t="s">
        <v>282</v>
      </c>
      <c r="C18" s="25">
        <v>2410</v>
      </c>
      <c r="D18" s="25"/>
      <c r="F18" s="25">
        <v>1138</v>
      </c>
      <c r="G18" s="25"/>
      <c r="H18" s="2"/>
      <c r="O18" s="60"/>
      <c r="P18" s="11"/>
      <c r="Q18" s="11"/>
      <c r="R18" s="11"/>
      <c r="S18" s="21"/>
      <c r="T18" s="11"/>
      <c r="U18" s="11"/>
    </row>
    <row r="19" spans="1:21" x14ac:dyDescent="0.25">
      <c r="B19" t="s">
        <v>8</v>
      </c>
      <c r="C19" s="28">
        <v>147</v>
      </c>
      <c r="D19" s="25"/>
      <c r="F19" s="28">
        <v>132</v>
      </c>
      <c r="G19" s="25"/>
      <c r="O19" s="60"/>
      <c r="P19" s="11"/>
      <c r="Q19" s="11"/>
      <c r="R19" s="11"/>
      <c r="S19" s="21"/>
      <c r="T19" s="11"/>
      <c r="U19" s="11"/>
    </row>
    <row r="20" spans="1:21" x14ac:dyDescent="0.25">
      <c r="C20" s="25"/>
      <c r="D20" s="25">
        <f>SUM(C16:C19)</f>
        <v>49141</v>
      </c>
      <c r="F20" s="25"/>
      <c r="G20" s="25">
        <f>SUM(F16:F19)</f>
        <v>46627</v>
      </c>
      <c r="O20" s="60"/>
      <c r="P20" s="11"/>
      <c r="Q20" s="11"/>
      <c r="R20" s="11"/>
      <c r="S20" s="21"/>
      <c r="T20" s="11"/>
      <c r="U20" s="11"/>
    </row>
    <row r="21" spans="1:21" ht="15.75" thickBot="1" x14ac:dyDescent="0.3">
      <c r="C21" s="25"/>
      <c r="D21" s="30">
        <f>SUM(D8:D20)</f>
        <v>49473.5</v>
      </c>
      <c r="F21" s="25"/>
      <c r="G21" s="30">
        <f>SUM(G8:G20)</f>
        <v>47846</v>
      </c>
      <c r="K21" s="2"/>
      <c r="O21" s="60"/>
      <c r="P21" s="11"/>
      <c r="Q21" s="11"/>
      <c r="R21" s="11"/>
      <c r="S21" s="21"/>
      <c r="T21" s="11"/>
      <c r="U21" s="11"/>
    </row>
    <row r="22" spans="1:21" ht="19.5" thickTop="1" x14ac:dyDescent="0.3">
      <c r="B22" s="3" t="s">
        <v>14</v>
      </c>
      <c r="C22" s="25"/>
      <c r="D22" s="25"/>
      <c r="E22" s="3"/>
      <c r="F22" s="25"/>
      <c r="G22" s="25"/>
      <c r="O22" s="60"/>
      <c r="P22" s="11"/>
      <c r="Q22" s="11"/>
      <c r="R22" s="11"/>
      <c r="S22" s="21"/>
      <c r="T22" s="11"/>
      <c r="U22" s="11"/>
    </row>
    <row r="23" spans="1:21" x14ac:dyDescent="0.25">
      <c r="A23" s="2" t="s">
        <v>15</v>
      </c>
      <c r="C23" s="25"/>
      <c r="D23" s="25"/>
      <c r="F23" s="25"/>
      <c r="G23" s="25"/>
      <c r="K23" s="6"/>
      <c r="L23" s="2"/>
      <c r="O23" s="60"/>
      <c r="P23" s="11"/>
      <c r="Q23" s="11"/>
      <c r="R23" s="11"/>
      <c r="S23" s="21"/>
      <c r="T23" s="11"/>
      <c r="U23" s="11"/>
    </row>
    <row r="24" spans="1:21" ht="18.75" x14ac:dyDescent="0.3">
      <c r="B24" t="s">
        <v>16</v>
      </c>
      <c r="C24" s="25"/>
      <c r="D24" s="25">
        <v>46660</v>
      </c>
      <c r="F24" s="25"/>
      <c r="G24" s="25">
        <v>47279</v>
      </c>
      <c r="H24" s="3"/>
      <c r="K24" s="6"/>
      <c r="O24" s="60"/>
      <c r="P24" s="11"/>
      <c r="Q24" s="11"/>
      <c r="R24" s="11"/>
      <c r="S24" s="21"/>
      <c r="T24" s="11"/>
      <c r="U24" s="11"/>
    </row>
    <row r="25" spans="1:21" x14ac:dyDescent="0.25">
      <c r="B25" t="s">
        <v>17</v>
      </c>
      <c r="C25" s="25"/>
      <c r="D25" s="28">
        <v>1565.3500000000031</v>
      </c>
      <c r="F25" s="25"/>
      <c r="G25" s="28">
        <v>-619</v>
      </c>
      <c r="K25" s="6"/>
      <c r="L25" s="6"/>
      <c r="O25" s="60"/>
      <c r="P25" s="11"/>
      <c r="Q25" s="11"/>
      <c r="R25" s="11"/>
      <c r="S25" s="21"/>
      <c r="T25" s="11"/>
      <c r="U25" s="11"/>
    </row>
    <row r="26" spans="1:21" x14ac:dyDescent="0.25">
      <c r="C26" s="25"/>
      <c r="D26" s="25">
        <f>SUM(D24:D25)</f>
        <v>48225.350000000006</v>
      </c>
      <c r="F26" s="25"/>
      <c r="G26" s="25">
        <f>SUM(G24:G25)</f>
        <v>46660</v>
      </c>
      <c r="K26" s="6"/>
      <c r="L26" s="6"/>
      <c r="O26" s="60"/>
      <c r="P26" s="11"/>
      <c r="Q26" s="11"/>
      <c r="R26" s="11"/>
      <c r="S26" s="21"/>
      <c r="T26" s="11"/>
      <c r="U26" s="11"/>
    </row>
    <row r="27" spans="1:21" x14ac:dyDescent="0.25">
      <c r="A27" s="2" t="s">
        <v>18</v>
      </c>
      <c r="B27" s="2"/>
      <c r="C27" s="29"/>
      <c r="D27" s="29"/>
      <c r="E27" s="2"/>
      <c r="F27" s="29"/>
      <c r="G27" s="29"/>
      <c r="K27" s="6"/>
      <c r="L27" s="6"/>
      <c r="O27" s="60"/>
      <c r="P27" s="11"/>
      <c r="Q27" s="11"/>
      <c r="R27" s="11"/>
      <c r="S27" s="21"/>
      <c r="T27" s="11"/>
      <c r="U27" s="11"/>
    </row>
    <row r="28" spans="1:21" x14ac:dyDescent="0.25">
      <c r="B28" t="s">
        <v>192</v>
      </c>
      <c r="C28" s="25">
        <v>1190</v>
      </c>
      <c r="D28" s="25"/>
      <c r="F28" s="25">
        <v>1171</v>
      </c>
      <c r="G28" s="25"/>
      <c r="K28" s="6"/>
      <c r="L28" s="6"/>
      <c r="O28" s="60"/>
      <c r="P28" s="11"/>
      <c r="Q28" s="11"/>
      <c r="R28" s="11"/>
      <c r="S28" s="21"/>
      <c r="T28" s="11"/>
      <c r="U28" s="11"/>
    </row>
    <row r="29" spans="1:21" x14ac:dyDescent="0.25">
      <c r="B29" t="s">
        <v>24</v>
      </c>
      <c r="C29" s="28">
        <v>59</v>
      </c>
      <c r="D29" s="25"/>
      <c r="F29" s="28">
        <v>15</v>
      </c>
      <c r="G29" s="25"/>
      <c r="O29" s="11"/>
      <c r="P29" s="11"/>
      <c r="Q29" s="11"/>
      <c r="R29" s="11"/>
      <c r="S29" s="21"/>
      <c r="T29" s="11"/>
      <c r="U29" s="11"/>
    </row>
    <row r="30" spans="1:21" x14ac:dyDescent="0.25">
      <c r="C30" s="25"/>
      <c r="D30" s="25">
        <f>SUM(C28:C29)</f>
        <v>1249</v>
      </c>
      <c r="F30" s="25"/>
      <c r="G30" s="25">
        <f>SUM(F28:F29)</f>
        <v>1186</v>
      </c>
    </row>
    <row r="31" spans="1:21" ht="15.75" thickBot="1" x14ac:dyDescent="0.3">
      <c r="C31" s="25"/>
      <c r="D31" s="30">
        <f>SUM(D26:D30)</f>
        <v>49474.350000000006</v>
      </c>
      <c r="F31" s="25"/>
      <c r="G31" s="30">
        <f>SUM(G26:G30)</f>
        <v>47846</v>
      </c>
    </row>
    <row r="32" spans="1:21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34E2-16D2-452D-A5B0-E137F98DF581}">
  <dimension ref="B1:Q96"/>
  <sheetViews>
    <sheetView workbookViewId="0">
      <selection activeCell="A60" sqref="A1:XFD1048576"/>
    </sheetView>
  </sheetViews>
  <sheetFormatPr defaultRowHeight="15" x14ac:dyDescent="0.25"/>
  <cols>
    <col min="1" max="1" width="2" customWidth="1"/>
    <col min="2" max="2" width="1.5703125" customWidth="1"/>
    <col min="5" max="5" width="29" customWidth="1"/>
    <col min="6" max="6" width="13.140625" customWidth="1"/>
    <col min="7" max="7" width="9.28515625" bestFit="1" customWidth="1"/>
    <col min="8" max="9" width="11.5703125" customWidth="1"/>
    <col min="10" max="10" width="4.42578125" style="21" customWidth="1"/>
    <col min="11" max="11" width="10.5703125" customWidth="1"/>
    <col min="12" max="12" width="10.5703125" bestFit="1" customWidth="1"/>
    <col min="13" max="13" width="3" style="39" customWidth="1"/>
    <col min="14" max="14" width="13.28515625" style="4" customWidth="1"/>
  </cols>
  <sheetData>
    <row r="1" spans="2:17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 s="4" t="s">
        <v>63</v>
      </c>
    </row>
    <row r="2" spans="2:17" x14ac:dyDescent="0.25">
      <c r="F2" s="1">
        <v>45292</v>
      </c>
      <c r="G2" s="5"/>
      <c r="H2" s="5"/>
      <c r="I2" s="5"/>
      <c r="J2" s="22"/>
      <c r="K2" s="5" t="s">
        <v>66</v>
      </c>
      <c r="L2" s="38" t="s">
        <v>266</v>
      </c>
      <c r="N2" s="62" t="s">
        <v>232</v>
      </c>
    </row>
    <row r="3" spans="2:17" x14ac:dyDescent="0.25">
      <c r="B3" s="2" t="s">
        <v>12</v>
      </c>
      <c r="M3" s="54" t="s">
        <v>68</v>
      </c>
    </row>
    <row r="4" spans="2:17" x14ac:dyDescent="0.25">
      <c r="C4" t="s">
        <v>13</v>
      </c>
      <c r="F4" s="4" t="s">
        <v>65</v>
      </c>
      <c r="G4" s="4"/>
      <c r="H4" s="4"/>
      <c r="I4" s="4"/>
      <c r="J4" s="23"/>
      <c r="K4" s="4"/>
      <c r="L4" s="4" t="s">
        <v>65</v>
      </c>
      <c r="M4" s="54" t="s">
        <v>68</v>
      </c>
      <c r="N4" s="4" t="s">
        <v>65</v>
      </c>
    </row>
    <row r="5" spans="2:17" x14ac:dyDescent="0.25">
      <c r="B5" s="2" t="s">
        <v>3</v>
      </c>
      <c r="F5" s="11">
        <v>0</v>
      </c>
      <c r="G5" s="11"/>
      <c r="H5" s="11"/>
      <c r="I5" s="11"/>
      <c r="K5" s="11"/>
      <c r="L5" s="11">
        <f t="shared" ref="L5:L26" si="0">SUM(F5+G5+H5+I5+K5)</f>
        <v>0</v>
      </c>
      <c r="M5" s="55" t="s">
        <v>68</v>
      </c>
      <c r="N5" s="60">
        <v>0</v>
      </c>
    </row>
    <row r="6" spans="2:17" x14ac:dyDescent="0.25">
      <c r="C6" t="s">
        <v>21</v>
      </c>
      <c r="F6" s="11">
        <v>0</v>
      </c>
      <c r="G6" s="11"/>
      <c r="H6" s="11"/>
      <c r="I6" s="11"/>
      <c r="K6" s="11"/>
      <c r="L6" s="11">
        <f t="shared" si="0"/>
        <v>0</v>
      </c>
      <c r="M6" s="55" t="s">
        <v>68</v>
      </c>
      <c r="N6" s="60">
        <v>0</v>
      </c>
    </row>
    <row r="7" spans="2:17" x14ac:dyDescent="0.25">
      <c r="C7" s="6" t="s">
        <v>19</v>
      </c>
      <c r="F7" s="60">
        <v>34.000000000000057</v>
      </c>
      <c r="G7" s="11"/>
      <c r="H7" s="11">
        <v>0</v>
      </c>
      <c r="I7" s="11">
        <v>0</v>
      </c>
      <c r="J7" s="21" t="s">
        <v>207</v>
      </c>
      <c r="K7" s="11">
        <v>-34</v>
      </c>
      <c r="L7" s="11">
        <f t="shared" si="0"/>
        <v>5.6843418860808015E-14</v>
      </c>
      <c r="M7" s="55" t="s">
        <v>68</v>
      </c>
      <c r="N7" s="60">
        <v>34.000000000000057</v>
      </c>
    </row>
    <row r="8" spans="2:17" x14ac:dyDescent="0.25">
      <c r="C8" s="6" t="s">
        <v>20</v>
      </c>
      <c r="E8" t="s">
        <v>267</v>
      </c>
      <c r="F8" s="60">
        <v>225</v>
      </c>
      <c r="G8" s="11"/>
      <c r="H8" s="11"/>
      <c r="I8" s="11"/>
      <c r="J8" s="21" t="s">
        <v>209</v>
      </c>
      <c r="K8" s="11">
        <v>-95</v>
      </c>
      <c r="L8" s="11">
        <f t="shared" si="0"/>
        <v>130</v>
      </c>
      <c r="M8" s="55" t="s">
        <v>68</v>
      </c>
      <c r="N8" s="60">
        <v>225</v>
      </c>
    </row>
    <row r="9" spans="2:17" x14ac:dyDescent="0.25">
      <c r="C9" s="6" t="s">
        <v>178</v>
      </c>
      <c r="E9" t="s">
        <v>268</v>
      </c>
      <c r="F9" s="60">
        <v>82.5</v>
      </c>
      <c r="G9" s="11"/>
      <c r="H9" s="11"/>
      <c r="I9" s="11"/>
      <c r="J9" s="21" t="s">
        <v>209</v>
      </c>
      <c r="K9" s="11">
        <v>-40</v>
      </c>
      <c r="L9" s="11">
        <f t="shared" si="0"/>
        <v>42.5</v>
      </c>
      <c r="M9" s="55" t="s">
        <v>68</v>
      </c>
      <c r="N9" s="60">
        <v>82.5</v>
      </c>
    </row>
    <row r="10" spans="2:17" x14ac:dyDescent="0.25">
      <c r="C10" t="s">
        <v>155</v>
      </c>
      <c r="E10" t="s">
        <v>269</v>
      </c>
      <c r="F10" s="60">
        <v>477.5</v>
      </c>
      <c r="G10" s="11"/>
      <c r="H10" s="11"/>
      <c r="I10" s="11"/>
      <c r="J10" s="21" t="s">
        <v>209</v>
      </c>
      <c r="K10" s="11">
        <v>-317.5</v>
      </c>
      <c r="L10" s="11">
        <f t="shared" si="0"/>
        <v>160</v>
      </c>
      <c r="M10" s="55" t="s">
        <v>68</v>
      </c>
      <c r="N10" s="60">
        <v>477.5</v>
      </c>
      <c r="O10" s="10" t="s">
        <v>270</v>
      </c>
      <c r="P10" s="10"/>
      <c r="Q10" s="10"/>
    </row>
    <row r="11" spans="2:17" x14ac:dyDescent="0.25">
      <c r="C11" s="6" t="s">
        <v>246</v>
      </c>
      <c r="F11" s="60">
        <v>400</v>
      </c>
      <c r="G11" s="11"/>
      <c r="H11" s="11"/>
      <c r="I11" s="11"/>
      <c r="J11" s="21" t="s">
        <v>245</v>
      </c>
      <c r="K11" s="11">
        <v>-400</v>
      </c>
      <c r="L11" s="11">
        <f t="shared" si="0"/>
        <v>0</v>
      </c>
      <c r="M11" s="55" t="s">
        <v>68</v>
      </c>
      <c r="N11" s="60">
        <v>400</v>
      </c>
    </row>
    <row r="12" spans="2:17" x14ac:dyDescent="0.25">
      <c r="B12" s="2" t="s">
        <v>5</v>
      </c>
      <c r="C12" s="2"/>
      <c r="F12" s="60">
        <v>0</v>
      </c>
      <c r="G12" s="11"/>
      <c r="H12" s="11"/>
      <c r="I12" s="11"/>
      <c r="K12" s="11"/>
      <c r="L12" s="11">
        <f t="shared" si="0"/>
        <v>0</v>
      </c>
      <c r="M12" s="55" t="s">
        <v>68</v>
      </c>
      <c r="N12" s="60">
        <v>0</v>
      </c>
    </row>
    <row r="13" spans="2:17" x14ac:dyDescent="0.25">
      <c r="C13" t="s">
        <v>6</v>
      </c>
      <c r="F13" s="60">
        <v>338.64</v>
      </c>
      <c r="G13" s="11"/>
      <c r="H13" s="11">
        <f>1100.35-338.64</f>
        <v>761.70999999999992</v>
      </c>
      <c r="I13" s="11"/>
      <c r="K13" s="11"/>
      <c r="L13" s="11">
        <f t="shared" si="0"/>
        <v>1100.3499999999999</v>
      </c>
      <c r="M13" s="55" t="s">
        <v>68</v>
      </c>
      <c r="N13" s="60">
        <v>338.64</v>
      </c>
    </row>
    <row r="14" spans="2:17" x14ac:dyDescent="0.25">
      <c r="C14" t="s">
        <v>272</v>
      </c>
      <c r="F14" s="60">
        <v>45018.000000000007</v>
      </c>
      <c r="G14" s="11"/>
      <c r="H14" s="11"/>
      <c r="I14" s="11">
        <f>-45018+5484.49+40000</f>
        <v>466.48999999999796</v>
      </c>
      <c r="K14" s="11">
        <v>-40000</v>
      </c>
      <c r="L14" s="11">
        <f t="shared" si="0"/>
        <v>5484.4900000000052</v>
      </c>
      <c r="M14" s="55" t="s">
        <v>68</v>
      </c>
      <c r="N14" s="60">
        <v>45018.000000000007</v>
      </c>
    </row>
    <row r="15" spans="2:17" x14ac:dyDescent="0.25">
      <c r="C15" t="s">
        <v>273</v>
      </c>
      <c r="F15" s="60"/>
      <c r="G15" s="11"/>
      <c r="H15" s="11"/>
      <c r="I15" s="11"/>
      <c r="K15" s="11">
        <v>40000</v>
      </c>
      <c r="L15" s="11">
        <f>SUM(F15+G15+H15+I15+K15)</f>
        <v>40000</v>
      </c>
      <c r="M15" s="55" t="s">
        <v>68</v>
      </c>
      <c r="N15" s="60"/>
      <c r="O15" s="10" t="s">
        <v>280</v>
      </c>
      <c r="P15" s="10"/>
      <c r="Q15" s="10"/>
    </row>
    <row r="16" spans="2:17" x14ac:dyDescent="0.25">
      <c r="C16" t="s">
        <v>274</v>
      </c>
      <c r="F16" s="60">
        <v>1138.6199999999999</v>
      </c>
      <c r="G16" s="11"/>
      <c r="H16" s="11"/>
      <c r="I16" s="11">
        <f>2410.27-1138.62</f>
        <v>1271.6500000000001</v>
      </c>
      <c r="K16" s="11"/>
      <c r="L16" s="11">
        <f t="shared" si="0"/>
        <v>2410.27</v>
      </c>
      <c r="M16" s="55" t="s">
        <v>68</v>
      </c>
      <c r="N16" s="60">
        <v>1138.6199999999999</v>
      </c>
    </row>
    <row r="17" spans="2:14" x14ac:dyDescent="0.25">
      <c r="C17" t="s">
        <v>8</v>
      </c>
      <c r="F17" s="60">
        <v>132.4</v>
      </c>
      <c r="G17" s="11">
        <v>14.5</v>
      </c>
      <c r="H17" s="11"/>
      <c r="I17" s="11"/>
      <c r="K17" s="11"/>
      <c r="L17" s="11">
        <f t="shared" si="0"/>
        <v>146.9</v>
      </c>
      <c r="M17" s="55" t="s">
        <v>68</v>
      </c>
      <c r="N17" s="60">
        <v>132.4</v>
      </c>
    </row>
    <row r="18" spans="2:14" x14ac:dyDescent="0.25">
      <c r="C18" t="s">
        <v>74</v>
      </c>
      <c r="F18" s="60">
        <v>0</v>
      </c>
      <c r="G18" s="11">
        <v>1780</v>
      </c>
      <c r="H18" s="11">
        <v>10500</v>
      </c>
      <c r="I18" s="11">
        <v>-12280</v>
      </c>
      <c r="K18" s="11"/>
      <c r="L18" s="11">
        <f t="shared" si="0"/>
        <v>0</v>
      </c>
      <c r="M18" s="55" t="s">
        <v>68</v>
      </c>
      <c r="N18" s="60">
        <v>0</v>
      </c>
    </row>
    <row r="19" spans="2:14" x14ac:dyDescent="0.25">
      <c r="B19" s="2" t="s">
        <v>15</v>
      </c>
      <c r="F19" s="60">
        <v>0</v>
      </c>
      <c r="G19" s="11"/>
      <c r="H19" s="11"/>
      <c r="I19" s="11"/>
      <c r="K19" s="11"/>
      <c r="L19" s="11">
        <f t="shared" si="0"/>
        <v>0</v>
      </c>
      <c r="M19" s="55" t="s">
        <v>68</v>
      </c>
      <c r="N19" s="60">
        <v>0</v>
      </c>
    </row>
    <row r="20" spans="2:14" x14ac:dyDescent="0.25">
      <c r="C20" t="s">
        <v>16</v>
      </c>
      <c r="F20" s="60">
        <f>-47279.52+618.99</f>
        <v>-46660.53</v>
      </c>
      <c r="G20" s="11"/>
      <c r="H20" s="11"/>
      <c r="I20" s="11"/>
      <c r="K20" s="11"/>
      <c r="L20" s="11">
        <f t="shared" si="0"/>
        <v>-46660.53</v>
      </c>
      <c r="M20" s="55" t="s">
        <v>68</v>
      </c>
      <c r="N20" s="60">
        <v>-47279.520000000004</v>
      </c>
    </row>
    <row r="21" spans="2:14" x14ac:dyDescent="0.25">
      <c r="B21" s="2" t="s">
        <v>18</v>
      </c>
      <c r="C21" s="2"/>
      <c r="F21" s="60">
        <v>0</v>
      </c>
      <c r="G21" s="11"/>
      <c r="H21" s="11"/>
      <c r="I21" s="11"/>
      <c r="K21" s="11"/>
      <c r="L21" s="11">
        <f t="shared" si="0"/>
        <v>0</v>
      </c>
      <c r="M21" s="55" t="s">
        <v>68</v>
      </c>
      <c r="N21" s="60">
        <v>0</v>
      </c>
    </row>
    <row r="22" spans="2:14" x14ac:dyDescent="0.25">
      <c r="C22" t="s">
        <v>22</v>
      </c>
      <c r="F22" s="60">
        <v>0</v>
      </c>
      <c r="G22" s="11"/>
      <c r="H22" s="11"/>
      <c r="I22" s="11"/>
      <c r="K22" s="11"/>
      <c r="L22" s="11">
        <f t="shared" si="0"/>
        <v>0</v>
      </c>
      <c r="M22" s="55" t="s">
        <v>68</v>
      </c>
      <c r="N22" s="60">
        <v>0</v>
      </c>
    </row>
    <row r="23" spans="2:14" x14ac:dyDescent="0.25">
      <c r="C23" s="6" t="s">
        <v>275</v>
      </c>
      <c r="F23" s="60">
        <v>0</v>
      </c>
      <c r="G23" s="11"/>
      <c r="H23" s="11">
        <f>-29-15</f>
        <v>-44</v>
      </c>
      <c r="I23" s="11">
        <v>-15</v>
      </c>
      <c r="K23" s="11"/>
      <c r="L23" s="11">
        <f t="shared" si="0"/>
        <v>-59</v>
      </c>
      <c r="M23" s="55" t="s">
        <v>68</v>
      </c>
      <c r="N23" s="60">
        <v>0</v>
      </c>
    </row>
    <row r="24" spans="2:14" x14ac:dyDescent="0.25">
      <c r="C24" s="6" t="s">
        <v>233</v>
      </c>
      <c r="F24" s="60">
        <v>-15</v>
      </c>
      <c r="G24" s="11"/>
      <c r="H24" s="11"/>
      <c r="I24" s="11"/>
      <c r="J24" s="21" t="s">
        <v>217</v>
      </c>
      <c r="K24" s="11">
        <v>15</v>
      </c>
      <c r="L24" s="11">
        <f t="shared" si="0"/>
        <v>0</v>
      </c>
      <c r="M24" s="55" t="s">
        <v>68</v>
      </c>
      <c r="N24" s="60">
        <v>-15</v>
      </c>
    </row>
    <row r="25" spans="2:14" x14ac:dyDescent="0.25">
      <c r="C25" s="6" t="s">
        <v>235</v>
      </c>
      <c r="F25" s="60">
        <v>-1171.1300000000001</v>
      </c>
      <c r="G25" s="11"/>
      <c r="H25" s="11"/>
      <c r="I25" s="11">
        <v>0</v>
      </c>
      <c r="J25" s="21" t="s">
        <v>204</v>
      </c>
      <c r="K25" s="11">
        <v>1171.1300000000001</v>
      </c>
      <c r="L25" s="11">
        <f t="shared" si="0"/>
        <v>0</v>
      </c>
      <c r="M25" s="55" t="s">
        <v>68</v>
      </c>
      <c r="N25" s="60">
        <v>-1171.1300000000001</v>
      </c>
    </row>
    <row r="26" spans="2:14" x14ac:dyDescent="0.25">
      <c r="C26" s="6" t="s">
        <v>276</v>
      </c>
      <c r="F26" s="61">
        <v>0</v>
      </c>
      <c r="G26" s="19"/>
      <c r="H26" s="19"/>
      <c r="I26" s="19">
        <v>-1189.6300000000001</v>
      </c>
      <c r="J26" s="22" t="s">
        <v>64</v>
      </c>
      <c r="K26" s="19"/>
      <c r="L26" s="11">
        <f t="shared" si="0"/>
        <v>-1189.6300000000001</v>
      </c>
      <c r="M26" s="55" t="s">
        <v>68</v>
      </c>
      <c r="N26" s="60">
        <v>0</v>
      </c>
    </row>
    <row r="27" spans="2:14" ht="15.75" thickBot="1" x14ac:dyDescent="0.3">
      <c r="E27" t="s">
        <v>108</v>
      </c>
      <c r="F27" s="11">
        <f>SUM(F5:F26)</f>
        <v>1.1823431123048067E-11</v>
      </c>
      <c r="G27" s="11">
        <f>SUM(G4:G26)</f>
        <v>1794.5</v>
      </c>
      <c r="H27" s="11">
        <f>SUM(H4:H26)</f>
        <v>11217.71</v>
      </c>
      <c r="I27" s="11">
        <f>SUM(I4:I26)</f>
        <v>-11746.490000000002</v>
      </c>
      <c r="K27" s="11">
        <f>SUM(K4:K26)</f>
        <v>299.63000000000011</v>
      </c>
      <c r="L27" s="12">
        <f>SUM(L3:L26)</f>
        <v>1565.3500000000031</v>
      </c>
      <c r="M27" s="56"/>
      <c r="N27" s="63">
        <f>SUM(N3:N26)</f>
        <v>-618.98999999999342</v>
      </c>
    </row>
    <row r="28" spans="2:14" ht="15.75" thickTop="1" x14ac:dyDescent="0.25">
      <c r="F28" s="11"/>
      <c r="G28" s="11"/>
      <c r="H28" s="11"/>
      <c r="I28" s="11"/>
      <c r="K28" s="11"/>
      <c r="L28" s="11"/>
      <c r="M28" s="56"/>
      <c r="N28" s="60"/>
    </row>
    <row r="29" spans="2:14" x14ac:dyDescent="0.25">
      <c r="F29" s="11"/>
      <c r="G29" s="11"/>
      <c r="H29" s="11"/>
      <c r="I29" s="11"/>
      <c r="K29" s="11"/>
      <c r="L29" s="11"/>
      <c r="M29" s="56"/>
      <c r="N29" s="60"/>
    </row>
    <row r="30" spans="2:14" x14ac:dyDescent="0.25">
      <c r="F30" s="11"/>
      <c r="G30" s="11"/>
      <c r="H30" s="11"/>
      <c r="I30" s="11"/>
      <c r="K30" s="11"/>
      <c r="L30" s="11"/>
      <c r="M30" s="56"/>
      <c r="N30" s="60"/>
    </row>
    <row r="31" spans="2:14" x14ac:dyDescent="0.25">
      <c r="F31" s="11"/>
      <c r="G31" s="11"/>
      <c r="H31" s="11"/>
      <c r="I31" s="11"/>
      <c r="K31" s="11"/>
      <c r="L31" s="11"/>
      <c r="M31" s="56"/>
      <c r="N31" s="60"/>
    </row>
    <row r="32" spans="2:14" x14ac:dyDescent="0.25">
      <c r="F32" s="11"/>
      <c r="G32" s="11"/>
      <c r="H32" s="11"/>
      <c r="I32" s="11"/>
      <c r="K32" s="11"/>
      <c r="L32" s="11"/>
      <c r="M32" s="56"/>
      <c r="N32" s="60"/>
    </row>
    <row r="33" spans="2:14" x14ac:dyDescent="0.25">
      <c r="F33" s="11"/>
      <c r="G33" s="11"/>
      <c r="H33" s="11"/>
      <c r="I33" s="11"/>
      <c r="K33" s="11"/>
      <c r="L33" s="11"/>
      <c r="M33" s="56"/>
      <c r="N33" s="60"/>
    </row>
    <row r="34" spans="2:14" x14ac:dyDescent="0.25">
      <c r="F34" s="11"/>
      <c r="G34" s="11"/>
      <c r="H34" s="11"/>
      <c r="I34" s="11"/>
      <c r="K34" s="11"/>
      <c r="L34" s="11"/>
      <c r="M34" s="56"/>
      <c r="N34" s="60"/>
    </row>
    <row r="35" spans="2:14" x14ac:dyDescent="0.25">
      <c r="F35" t="s">
        <v>62</v>
      </c>
      <c r="G35" t="s">
        <v>67</v>
      </c>
      <c r="H35" t="s">
        <v>75</v>
      </c>
      <c r="I35" t="s">
        <v>76</v>
      </c>
      <c r="L35" t="s">
        <v>63</v>
      </c>
      <c r="N35" s="4" t="s">
        <v>63</v>
      </c>
    </row>
    <row r="36" spans="2:14" x14ac:dyDescent="0.25">
      <c r="F36" s="1">
        <v>45292</v>
      </c>
      <c r="G36" s="5"/>
      <c r="H36" s="5"/>
      <c r="I36" s="5"/>
      <c r="J36" s="22"/>
      <c r="K36" s="5" t="s">
        <v>66</v>
      </c>
      <c r="L36" s="38" t="s">
        <v>266</v>
      </c>
      <c r="N36" s="62" t="s">
        <v>232</v>
      </c>
    </row>
    <row r="37" spans="2:14" x14ac:dyDescent="0.25">
      <c r="E37" t="s">
        <v>107</v>
      </c>
      <c r="F37" s="11">
        <f t="shared" ref="F37:K37" si="1">SUM(F27)</f>
        <v>1.1823431123048067E-11</v>
      </c>
      <c r="G37" s="11">
        <f t="shared" si="1"/>
        <v>1794.5</v>
      </c>
      <c r="H37" s="11">
        <f t="shared" si="1"/>
        <v>11217.71</v>
      </c>
      <c r="I37" s="11">
        <f t="shared" si="1"/>
        <v>-11746.490000000002</v>
      </c>
      <c r="J37" s="11">
        <f t="shared" si="1"/>
        <v>0</v>
      </c>
      <c r="K37" s="11">
        <f t="shared" si="1"/>
        <v>299.63000000000011</v>
      </c>
      <c r="L37" s="11">
        <f>SUM(L27)</f>
        <v>1565.3500000000031</v>
      </c>
      <c r="M37" s="55" t="s">
        <v>68</v>
      </c>
      <c r="N37" s="60">
        <v>-618.98999999999342</v>
      </c>
    </row>
    <row r="38" spans="2:14" ht="15.75" x14ac:dyDescent="0.25">
      <c r="B38" s="9" t="s">
        <v>27</v>
      </c>
      <c r="F38" s="11"/>
      <c r="G38" s="11"/>
      <c r="H38" s="11"/>
      <c r="I38" s="11"/>
      <c r="K38" s="11"/>
      <c r="L38" s="11"/>
      <c r="M38" s="55" t="s">
        <v>68</v>
      </c>
      <c r="N38" s="60"/>
    </row>
    <row r="39" spans="2:14" x14ac:dyDescent="0.25">
      <c r="B39" t="s">
        <v>28</v>
      </c>
      <c r="F39" s="11"/>
      <c r="G39" s="11">
        <v>-225</v>
      </c>
      <c r="H39" s="11">
        <v>-11443</v>
      </c>
      <c r="I39" s="11">
        <f>-237+15</f>
        <v>-222</v>
      </c>
      <c r="J39" s="21" t="s">
        <v>217</v>
      </c>
      <c r="K39" s="11">
        <v>-15</v>
      </c>
      <c r="L39" s="11">
        <f t="shared" ref="L39:L52" si="2">SUM(F39+G39+H39+I39+K39)</f>
        <v>-11905</v>
      </c>
      <c r="M39" s="55" t="s">
        <v>68</v>
      </c>
      <c r="N39" s="60">
        <v>-11179</v>
      </c>
    </row>
    <row r="40" spans="2:14" x14ac:dyDescent="0.25">
      <c r="B40" t="s">
        <v>29</v>
      </c>
      <c r="C40" t="s">
        <v>69</v>
      </c>
      <c r="F40" s="11"/>
      <c r="G40" s="11">
        <v>-599.95000000000005</v>
      </c>
      <c r="H40" s="11">
        <v>-20</v>
      </c>
      <c r="I40" s="11">
        <v>-265.23</v>
      </c>
      <c r="K40" s="11"/>
      <c r="L40" s="11">
        <f t="shared" si="2"/>
        <v>-885.18000000000006</v>
      </c>
      <c r="M40" s="55" t="s">
        <v>68</v>
      </c>
      <c r="N40" s="60">
        <v>-717.79</v>
      </c>
    </row>
    <row r="41" spans="2:14" x14ac:dyDescent="0.25">
      <c r="B41" t="s">
        <v>30</v>
      </c>
      <c r="F41" s="11"/>
      <c r="G41" s="11"/>
      <c r="H41" s="11"/>
      <c r="I41" s="11">
        <v>-1500</v>
      </c>
      <c r="K41" s="11"/>
      <c r="L41" s="11">
        <f t="shared" si="2"/>
        <v>-1500</v>
      </c>
      <c r="M41" s="55" t="s">
        <v>68</v>
      </c>
      <c r="N41" s="60">
        <v>-1500</v>
      </c>
    </row>
    <row r="42" spans="2:14" x14ac:dyDescent="0.25">
      <c r="C42" s="6" t="s">
        <v>191</v>
      </c>
      <c r="F42" s="11"/>
      <c r="G42" s="11"/>
      <c r="H42" s="11"/>
      <c r="I42" s="11"/>
      <c r="K42" s="11"/>
      <c r="L42" s="11">
        <f>SUM(F42+G42+H42+I42+K42)</f>
        <v>0</v>
      </c>
      <c r="M42" s="55" t="s">
        <v>68</v>
      </c>
      <c r="N42" s="60">
        <v>-1000</v>
      </c>
    </row>
    <row r="43" spans="2:14" x14ac:dyDescent="0.25">
      <c r="B43" t="s">
        <v>31</v>
      </c>
      <c r="F43" s="11"/>
      <c r="G43" s="11"/>
      <c r="H43" s="11"/>
      <c r="I43" s="11">
        <v>-250</v>
      </c>
      <c r="K43" s="11"/>
      <c r="L43" s="11">
        <f t="shared" si="2"/>
        <v>-250</v>
      </c>
      <c r="M43" s="55" t="s">
        <v>68</v>
      </c>
      <c r="N43" s="60">
        <v>-100</v>
      </c>
    </row>
    <row r="44" spans="2:14" x14ac:dyDescent="0.25">
      <c r="B44" t="s">
        <v>119</v>
      </c>
      <c r="F44" s="11"/>
      <c r="G44" s="11">
        <v>-116.4</v>
      </c>
      <c r="H44" s="11">
        <f>-22-92.5-5-2.02-2-5</f>
        <v>-128.51999999999998</v>
      </c>
      <c r="I44" s="11">
        <v>-220</v>
      </c>
      <c r="K44" s="11"/>
      <c r="L44" s="11">
        <f t="shared" si="2"/>
        <v>-464.91999999999996</v>
      </c>
      <c r="M44" s="55" t="s">
        <v>68</v>
      </c>
      <c r="N44" s="60">
        <v>-802.48</v>
      </c>
    </row>
    <row r="45" spans="2:14" x14ac:dyDescent="0.25">
      <c r="B45" t="s">
        <v>84</v>
      </c>
      <c r="F45" s="11"/>
      <c r="G45" s="11"/>
      <c r="H45" s="11"/>
      <c r="I45" s="11">
        <v>-325</v>
      </c>
      <c r="K45" s="11"/>
      <c r="L45" s="11">
        <f t="shared" si="2"/>
        <v>-325</v>
      </c>
      <c r="M45" s="55" t="s">
        <v>68</v>
      </c>
      <c r="N45" s="60">
        <v>-25</v>
      </c>
    </row>
    <row r="46" spans="2:14" x14ac:dyDescent="0.25">
      <c r="B46" t="s">
        <v>188</v>
      </c>
      <c r="F46" s="11"/>
      <c r="G46" s="11"/>
      <c r="H46" s="11"/>
      <c r="I46" s="11"/>
      <c r="J46" s="21" t="s">
        <v>204</v>
      </c>
      <c r="K46" s="11">
        <v>-1171.1300000000001</v>
      </c>
      <c r="L46" s="11">
        <f t="shared" si="2"/>
        <v>-1171.1300000000001</v>
      </c>
      <c r="M46" s="55" t="s">
        <v>68</v>
      </c>
      <c r="N46" s="60">
        <v>-1499.83</v>
      </c>
    </row>
    <row r="47" spans="2:14" x14ac:dyDescent="0.25">
      <c r="B47" t="s">
        <v>85</v>
      </c>
      <c r="F47" s="11"/>
      <c r="G47" s="11">
        <v>-185</v>
      </c>
      <c r="H47" s="11"/>
      <c r="I47" s="11">
        <v>-63.5</v>
      </c>
      <c r="K47" s="11"/>
      <c r="L47" s="11">
        <f t="shared" si="2"/>
        <v>-248.5</v>
      </c>
      <c r="M47" s="55" t="s">
        <v>68</v>
      </c>
      <c r="N47" s="60">
        <v>-687.5</v>
      </c>
    </row>
    <row r="48" spans="2:14" x14ac:dyDescent="0.25">
      <c r="B48" t="s">
        <v>186</v>
      </c>
      <c r="F48" s="11"/>
      <c r="G48" s="11">
        <v>-62.5</v>
      </c>
      <c r="H48" s="11">
        <v>-12.5</v>
      </c>
      <c r="I48" s="11">
        <v>-37.5</v>
      </c>
      <c r="K48" s="11"/>
      <c r="L48" s="11">
        <f t="shared" si="2"/>
        <v>-112.5</v>
      </c>
      <c r="M48" s="55" t="s">
        <v>68</v>
      </c>
      <c r="N48" s="60">
        <v>-112.5</v>
      </c>
    </row>
    <row r="49" spans="2:14" x14ac:dyDescent="0.25">
      <c r="B49" t="s">
        <v>34</v>
      </c>
      <c r="E49" t="s">
        <v>236</v>
      </c>
      <c r="F49" s="11"/>
      <c r="G49" s="11">
        <v>-605.65</v>
      </c>
      <c r="H49" s="11">
        <v>-10</v>
      </c>
      <c r="I49" s="11"/>
      <c r="K49" s="11"/>
      <c r="L49" s="11">
        <f>SUM(F49+G49+H49+I49+K49)</f>
        <v>-615.65</v>
      </c>
      <c r="M49" s="55" t="s">
        <v>68</v>
      </c>
      <c r="N49" s="60">
        <v>-770.6</v>
      </c>
    </row>
    <row r="50" spans="2:14" x14ac:dyDescent="0.25">
      <c r="B50" t="s">
        <v>35</v>
      </c>
      <c r="F50" s="11"/>
      <c r="G50" s="11"/>
      <c r="H50" s="11"/>
      <c r="I50" s="11">
        <v>-1950</v>
      </c>
      <c r="K50" s="11"/>
      <c r="L50" s="11">
        <f t="shared" si="2"/>
        <v>-1950</v>
      </c>
      <c r="M50" s="55" t="s">
        <v>68</v>
      </c>
      <c r="N50" s="60">
        <v>-1700</v>
      </c>
    </row>
    <row r="51" spans="2:14" x14ac:dyDescent="0.25">
      <c r="B51" t="s">
        <v>278</v>
      </c>
      <c r="F51" s="11"/>
      <c r="G51" s="11"/>
      <c r="H51" s="11"/>
      <c r="I51" s="11">
        <v>-800</v>
      </c>
      <c r="K51" s="11"/>
      <c r="L51" s="11">
        <f t="shared" si="2"/>
        <v>-800</v>
      </c>
      <c r="M51" s="55" t="s">
        <v>68</v>
      </c>
      <c r="N51" s="60"/>
    </row>
    <row r="52" spans="2:14" x14ac:dyDescent="0.25">
      <c r="B52" t="s">
        <v>36</v>
      </c>
      <c r="F52" s="11"/>
      <c r="G52" s="11">
        <v>0</v>
      </c>
      <c r="H52" s="11"/>
      <c r="I52" s="11">
        <v>0</v>
      </c>
      <c r="K52" s="11"/>
      <c r="L52" s="11">
        <f t="shared" si="2"/>
        <v>0</v>
      </c>
      <c r="M52" s="55" t="s">
        <v>68</v>
      </c>
      <c r="N52" s="60">
        <v>0</v>
      </c>
    </row>
    <row r="53" spans="2:14" x14ac:dyDescent="0.25">
      <c r="B53" t="s">
        <v>38</v>
      </c>
      <c r="F53" s="19"/>
      <c r="G53" s="19"/>
      <c r="H53" s="19"/>
      <c r="I53" s="19">
        <v>-466.49</v>
      </c>
      <c r="J53" s="22"/>
      <c r="K53" s="19"/>
      <c r="L53" s="19">
        <f>SUM(F53+G53+H53+I53+K53)</f>
        <v>-466.49</v>
      </c>
      <c r="M53" s="55" t="s">
        <v>68</v>
      </c>
      <c r="N53" s="61">
        <v>-13.67</v>
      </c>
    </row>
    <row r="54" spans="2:14" x14ac:dyDescent="0.25">
      <c r="E54" t="s">
        <v>106</v>
      </c>
      <c r="F54" s="11">
        <f>SUM(F37:F53)</f>
        <v>1.1823431123048067E-11</v>
      </c>
      <c r="G54" s="11">
        <f>SUM(G37:G53)</f>
        <v>0</v>
      </c>
      <c r="H54" s="11">
        <f>SUM(H37:H53)</f>
        <v>-396.31000000000085</v>
      </c>
      <c r="I54" s="11">
        <f>SUM(I37:I53)</f>
        <v>-17846.210000000003</v>
      </c>
      <c r="K54" s="11">
        <f>SUM(K37:K53)</f>
        <v>-886.5</v>
      </c>
      <c r="L54" s="11">
        <f>SUM(L37:L53)</f>
        <v>-19129.02</v>
      </c>
      <c r="M54" s="56" t="s">
        <v>68</v>
      </c>
      <c r="N54" s="60">
        <f>SUM(N37:N53)</f>
        <v>-20727.359999999993</v>
      </c>
    </row>
    <row r="55" spans="2:14" x14ac:dyDescent="0.25">
      <c r="F55" s="11"/>
      <c r="G55" s="11"/>
      <c r="H55" s="11"/>
      <c r="I55" s="11"/>
      <c r="K55" s="11"/>
      <c r="L55" s="11"/>
      <c r="M55" s="56"/>
      <c r="N55" s="60"/>
    </row>
    <row r="56" spans="2:14" x14ac:dyDescent="0.25">
      <c r="F56" s="11"/>
      <c r="G56" s="11"/>
      <c r="H56" s="11"/>
      <c r="I56" s="11"/>
      <c r="K56" s="11"/>
      <c r="L56" s="11"/>
      <c r="M56" s="56"/>
      <c r="N56" s="60"/>
    </row>
    <row r="57" spans="2:14" x14ac:dyDescent="0.25">
      <c r="F57" s="11"/>
      <c r="G57" s="11"/>
      <c r="H57" s="11"/>
      <c r="I57" s="11"/>
      <c r="K57" s="11"/>
      <c r="L57" s="11"/>
      <c r="M57" s="56"/>
      <c r="N57" s="60"/>
    </row>
    <row r="58" spans="2:14" x14ac:dyDescent="0.25">
      <c r="F58" s="11"/>
      <c r="G58" s="11"/>
      <c r="H58" s="11"/>
      <c r="I58" s="11"/>
      <c r="K58" s="11"/>
      <c r="L58" s="11"/>
      <c r="M58" s="56"/>
      <c r="N58" s="60"/>
    </row>
    <row r="59" spans="2:14" x14ac:dyDescent="0.25">
      <c r="F59" s="11"/>
      <c r="G59" s="11"/>
      <c r="H59" s="11"/>
      <c r="I59" s="11"/>
      <c r="K59" s="11"/>
      <c r="L59" s="11"/>
      <c r="M59" s="56"/>
      <c r="N59" s="60"/>
    </row>
    <row r="60" spans="2:14" x14ac:dyDescent="0.25">
      <c r="F60" s="11"/>
      <c r="G60" s="11"/>
      <c r="H60" s="11"/>
      <c r="I60" s="11"/>
      <c r="K60" s="11"/>
      <c r="L60" s="11"/>
      <c r="M60" s="56"/>
      <c r="N60" s="60"/>
    </row>
    <row r="61" spans="2:14" x14ac:dyDescent="0.25">
      <c r="F61" s="11"/>
      <c r="G61" s="11"/>
      <c r="H61" s="11"/>
      <c r="I61" s="11"/>
      <c r="K61" s="11"/>
      <c r="L61" s="11"/>
      <c r="M61" s="56"/>
      <c r="N61" s="60"/>
    </row>
    <row r="62" spans="2:14" x14ac:dyDescent="0.25">
      <c r="F62" s="11"/>
      <c r="G62" s="11"/>
      <c r="H62" s="11"/>
      <c r="I62" s="11"/>
      <c r="K62" s="11"/>
      <c r="L62" s="11"/>
      <c r="M62" s="56"/>
      <c r="N62" s="60"/>
    </row>
    <row r="63" spans="2:14" x14ac:dyDescent="0.25">
      <c r="F63" t="s">
        <v>62</v>
      </c>
      <c r="G63" t="s">
        <v>67</v>
      </c>
      <c r="H63" t="s">
        <v>75</v>
      </c>
      <c r="I63" t="s">
        <v>76</v>
      </c>
      <c r="L63" t="s">
        <v>63</v>
      </c>
      <c r="N63" s="4" t="s">
        <v>63</v>
      </c>
    </row>
    <row r="64" spans="2:14" x14ac:dyDescent="0.25">
      <c r="F64" s="1">
        <v>45292</v>
      </c>
      <c r="G64" s="5"/>
      <c r="H64" s="5"/>
      <c r="I64" s="5"/>
      <c r="J64" s="22"/>
      <c r="K64" s="5" t="s">
        <v>66</v>
      </c>
      <c r="L64" s="38" t="s">
        <v>266</v>
      </c>
      <c r="N64" s="62" t="s">
        <v>232</v>
      </c>
    </row>
    <row r="65" spans="2:14" x14ac:dyDescent="0.25">
      <c r="E65" t="s">
        <v>107</v>
      </c>
      <c r="F65" s="11">
        <f t="shared" ref="F65:K65" si="3">SUM(F54)</f>
        <v>1.1823431123048067E-11</v>
      </c>
      <c r="G65" s="11">
        <f t="shared" si="3"/>
        <v>0</v>
      </c>
      <c r="H65" s="11">
        <f t="shared" si="3"/>
        <v>-396.31000000000085</v>
      </c>
      <c r="I65" s="11">
        <f t="shared" si="3"/>
        <v>-17846.210000000003</v>
      </c>
      <c r="J65" s="11">
        <f t="shared" si="3"/>
        <v>0</v>
      </c>
      <c r="K65" s="11">
        <f t="shared" si="3"/>
        <v>-886.5</v>
      </c>
      <c r="L65" s="11">
        <f>SUM(L54)</f>
        <v>-19129.02</v>
      </c>
      <c r="M65" s="54" t="s">
        <v>68</v>
      </c>
      <c r="N65" s="60">
        <f>SUM(N54)</f>
        <v>-20727.359999999993</v>
      </c>
    </row>
    <row r="66" spans="2:14" ht="18.75" x14ac:dyDescent="0.3">
      <c r="B66" s="3" t="s">
        <v>41</v>
      </c>
      <c r="F66" s="11"/>
      <c r="G66" s="11"/>
      <c r="H66" s="11"/>
      <c r="I66" s="11"/>
      <c r="K66" s="11"/>
      <c r="L66" s="11"/>
      <c r="M66" s="55" t="s">
        <v>68</v>
      </c>
      <c r="N66" s="60"/>
    </row>
    <row r="67" spans="2:14" x14ac:dyDescent="0.25">
      <c r="B67" s="2" t="s">
        <v>42</v>
      </c>
      <c r="F67" s="11"/>
      <c r="G67" s="11"/>
      <c r="H67" s="11"/>
      <c r="I67" s="11"/>
      <c r="K67" s="11"/>
      <c r="L67" s="11"/>
      <c r="M67" s="55" t="s">
        <v>68</v>
      </c>
      <c r="N67" s="60"/>
    </row>
    <row r="68" spans="2:14" x14ac:dyDescent="0.25">
      <c r="C68" t="s">
        <v>43</v>
      </c>
      <c r="F68" s="11"/>
      <c r="G68" s="11"/>
      <c r="H68" s="11"/>
      <c r="I68" s="11">
        <v>1491.83</v>
      </c>
      <c r="K68" s="11"/>
      <c r="L68" s="11">
        <f t="shared" ref="L68:L93" si="4">SUM(F68+G68+H68+I68+K68)</f>
        <v>1491.83</v>
      </c>
      <c r="M68" s="55" t="s">
        <v>68</v>
      </c>
      <c r="N68" s="60">
        <v>1430.52</v>
      </c>
    </row>
    <row r="69" spans="2:14" x14ac:dyDescent="0.25">
      <c r="C69" t="s">
        <v>89</v>
      </c>
      <c r="F69" s="11"/>
      <c r="G69" s="11"/>
      <c r="H69" s="11"/>
      <c r="I69" s="11">
        <f>661.29-275.12</f>
        <v>386.16999999999996</v>
      </c>
      <c r="K69" s="11"/>
      <c r="L69" s="11">
        <f t="shared" si="4"/>
        <v>386.16999999999996</v>
      </c>
      <c r="M69" s="55" t="s">
        <v>68</v>
      </c>
      <c r="N69" s="60">
        <v>424.57999999999959</v>
      </c>
    </row>
    <row r="70" spans="2:14" x14ac:dyDescent="0.25">
      <c r="C70" t="s">
        <v>44</v>
      </c>
      <c r="F70" s="11"/>
      <c r="G70" s="11"/>
      <c r="H70" s="11"/>
      <c r="I70" s="11">
        <v>275.12</v>
      </c>
      <c r="K70" s="11"/>
      <c r="L70" s="11">
        <f t="shared" si="4"/>
        <v>275.12</v>
      </c>
      <c r="M70" s="55" t="s">
        <v>68</v>
      </c>
      <c r="N70" s="60">
        <v>165.36</v>
      </c>
    </row>
    <row r="71" spans="2:14" x14ac:dyDescent="0.25">
      <c r="C71" t="s">
        <v>45</v>
      </c>
      <c r="F71" s="11"/>
      <c r="G71" s="11"/>
      <c r="H71" s="11"/>
      <c r="I71" s="11">
        <v>740.11</v>
      </c>
      <c r="K71" s="11"/>
      <c r="L71" s="11">
        <f t="shared" si="4"/>
        <v>740.11</v>
      </c>
      <c r="M71" s="55" t="s">
        <v>68</v>
      </c>
      <c r="N71" s="60">
        <v>694.04</v>
      </c>
    </row>
    <row r="72" spans="2:14" x14ac:dyDescent="0.25">
      <c r="C72" t="s">
        <v>46</v>
      </c>
      <c r="F72" s="11"/>
      <c r="G72" s="11"/>
      <c r="H72" s="11"/>
      <c r="I72" s="11">
        <v>990.02</v>
      </c>
      <c r="K72" s="11"/>
      <c r="L72" s="11">
        <f t="shared" si="4"/>
        <v>990.02</v>
      </c>
      <c r="M72" s="55" t="s">
        <v>68</v>
      </c>
      <c r="N72" s="60">
        <v>630.66</v>
      </c>
    </row>
    <row r="73" spans="2:14" x14ac:dyDescent="0.25">
      <c r="C73" t="s">
        <v>47</v>
      </c>
      <c r="F73" s="11"/>
      <c r="G73" s="11"/>
      <c r="H73" s="11"/>
      <c r="I73" s="11">
        <v>1366.32</v>
      </c>
      <c r="K73" s="11"/>
      <c r="L73" s="11">
        <f t="shared" si="4"/>
        <v>1366.32</v>
      </c>
      <c r="M73" s="55" t="s">
        <v>68</v>
      </c>
      <c r="N73" s="60">
        <v>1284.8399999999999</v>
      </c>
    </row>
    <row r="74" spans="2:14" x14ac:dyDescent="0.25">
      <c r="C74" t="s">
        <v>48</v>
      </c>
      <c r="F74" s="11"/>
      <c r="G74" s="11"/>
      <c r="H74" s="11"/>
      <c r="I74" s="11"/>
      <c r="K74" s="11"/>
      <c r="L74" s="11">
        <f t="shared" si="4"/>
        <v>0</v>
      </c>
      <c r="M74" s="55" t="s">
        <v>68</v>
      </c>
      <c r="N74" s="60">
        <v>0</v>
      </c>
    </row>
    <row r="75" spans="2:14" x14ac:dyDescent="0.25">
      <c r="D75" t="s">
        <v>240</v>
      </c>
      <c r="F75" s="11"/>
      <c r="G75" s="11"/>
      <c r="H75" s="11"/>
      <c r="I75" s="11">
        <v>0</v>
      </c>
      <c r="K75" s="11"/>
      <c r="L75" s="11">
        <f t="shared" si="4"/>
        <v>0</v>
      </c>
      <c r="M75" s="55" t="s">
        <v>68</v>
      </c>
      <c r="N75" s="60">
        <v>2295.0100000000002</v>
      </c>
    </row>
    <row r="76" spans="2:14" x14ac:dyDescent="0.25">
      <c r="D76" t="s">
        <v>244</v>
      </c>
      <c r="F76" s="11"/>
      <c r="G76" s="11"/>
      <c r="H76" s="11"/>
      <c r="I76" s="11">
        <v>0</v>
      </c>
      <c r="K76" s="11"/>
      <c r="L76" s="11">
        <f t="shared" si="4"/>
        <v>0</v>
      </c>
      <c r="M76" s="55" t="s">
        <v>68</v>
      </c>
      <c r="N76" s="60">
        <v>1048.83</v>
      </c>
    </row>
    <row r="77" spans="2:14" x14ac:dyDescent="0.25">
      <c r="D77" t="s">
        <v>279</v>
      </c>
      <c r="F77" s="11"/>
      <c r="G77" s="11"/>
      <c r="H77" s="11"/>
      <c r="I77" s="11">
        <v>106.95</v>
      </c>
      <c r="J77" s="21" t="s">
        <v>64</v>
      </c>
      <c r="K77" s="11"/>
      <c r="L77" s="11">
        <f>SUM(F77+G77+H77+I77+K77)</f>
        <v>106.95</v>
      </c>
      <c r="M77" s="55" t="s">
        <v>68</v>
      </c>
      <c r="N77" s="60">
        <v>0</v>
      </c>
    </row>
    <row r="78" spans="2:14" x14ac:dyDescent="0.25">
      <c r="D78" t="s">
        <v>277</v>
      </c>
      <c r="F78" s="11"/>
      <c r="G78" s="11"/>
      <c r="H78" s="11"/>
      <c r="I78" s="11">
        <v>1349</v>
      </c>
      <c r="K78" s="11"/>
      <c r="L78" s="11">
        <f t="shared" si="4"/>
        <v>1349</v>
      </c>
      <c r="M78" s="55" t="s">
        <v>68</v>
      </c>
      <c r="N78" s="60">
        <v>0</v>
      </c>
    </row>
    <row r="79" spans="2:14" ht="15.75" x14ac:dyDescent="0.25">
      <c r="B79" s="9" t="s">
        <v>50</v>
      </c>
      <c r="F79" s="11"/>
      <c r="G79" s="11"/>
      <c r="H79" s="11"/>
      <c r="I79" s="11"/>
      <c r="K79" s="11"/>
      <c r="L79" s="11">
        <f t="shared" si="4"/>
        <v>0</v>
      </c>
      <c r="M79" s="55" t="s">
        <v>68</v>
      </c>
      <c r="N79" s="60">
        <v>0</v>
      </c>
    </row>
    <row r="80" spans="2:14" x14ac:dyDescent="0.25">
      <c r="C80" t="s">
        <v>51</v>
      </c>
      <c r="F80" s="11"/>
      <c r="G80" s="11"/>
      <c r="H80" s="11"/>
      <c r="I80" s="11">
        <v>7159.12</v>
      </c>
      <c r="K80" s="11"/>
      <c r="L80" s="11">
        <f t="shared" si="4"/>
        <v>7159.12</v>
      </c>
      <c r="M80" s="55" t="s">
        <v>68</v>
      </c>
      <c r="N80" s="60">
        <v>7128.6</v>
      </c>
    </row>
    <row r="81" spans="2:14" x14ac:dyDescent="0.25">
      <c r="C81" t="s">
        <v>221</v>
      </c>
      <c r="F81" s="11"/>
      <c r="G81" s="11"/>
      <c r="I81" s="11">
        <v>1660.6</v>
      </c>
      <c r="J81" s="21" t="s">
        <v>207</v>
      </c>
      <c r="K81" s="11">
        <v>34</v>
      </c>
      <c r="L81" s="11">
        <f t="shared" si="4"/>
        <v>1694.6</v>
      </c>
      <c r="M81" s="55" t="s">
        <v>68</v>
      </c>
      <c r="N81" s="60">
        <v>1436.6</v>
      </c>
    </row>
    <row r="82" spans="2:14" x14ac:dyDescent="0.25">
      <c r="C82" t="s">
        <v>52</v>
      </c>
      <c r="F82" s="11"/>
      <c r="G82" s="11"/>
      <c r="H82" s="11"/>
      <c r="I82" s="11">
        <v>308.67</v>
      </c>
      <c r="K82" s="11"/>
      <c r="L82" s="11">
        <f t="shared" si="4"/>
        <v>308.67</v>
      </c>
      <c r="M82" s="55" t="s">
        <v>68</v>
      </c>
      <c r="N82" s="60">
        <v>467.3</v>
      </c>
    </row>
    <row r="83" spans="2:14" x14ac:dyDescent="0.25">
      <c r="C83" t="s">
        <v>53</v>
      </c>
      <c r="F83" s="11"/>
      <c r="G83" s="11"/>
      <c r="H83" s="11"/>
      <c r="I83" s="11">
        <v>447.94</v>
      </c>
      <c r="K83" s="11"/>
      <c r="L83" s="11">
        <f t="shared" si="4"/>
        <v>447.94</v>
      </c>
      <c r="M83" s="55" t="s">
        <v>68</v>
      </c>
      <c r="N83" s="60">
        <v>701.62</v>
      </c>
    </row>
    <row r="84" spans="2:14" x14ac:dyDescent="0.25">
      <c r="C84" t="s">
        <v>197</v>
      </c>
      <c r="F84" s="11"/>
      <c r="G84" s="11"/>
      <c r="H84" s="11"/>
      <c r="I84" s="11">
        <f>2036.68-1349</f>
        <v>687.68000000000006</v>
      </c>
      <c r="K84" s="11"/>
      <c r="L84" s="11">
        <f t="shared" si="4"/>
        <v>687.68000000000006</v>
      </c>
      <c r="M84" s="55" t="s">
        <v>68</v>
      </c>
      <c r="N84" s="60">
        <v>631.6099999999999</v>
      </c>
    </row>
    <row r="85" spans="2:14" x14ac:dyDescent="0.25">
      <c r="C85" t="s">
        <v>36</v>
      </c>
      <c r="F85" s="11"/>
      <c r="G85" s="11"/>
      <c r="H85" s="11"/>
      <c r="I85" s="11">
        <v>55.82</v>
      </c>
      <c r="K85" s="11"/>
      <c r="L85" s="11">
        <f t="shared" si="4"/>
        <v>55.82</v>
      </c>
      <c r="M85" s="55" t="s">
        <v>68</v>
      </c>
      <c r="N85" s="60">
        <v>202.66</v>
      </c>
    </row>
    <row r="86" spans="2:14" x14ac:dyDescent="0.25">
      <c r="C86" t="s">
        <v>271</v>
      </c>
      <c r="F86" s="11"/>
      <c r="G86" s="11"/>
      <c r="H86" s="11"/>
      <c r="I86" s="11"/>
      <c r="J86" s="21" t="s">
        <v>209</v>
      </c>
      <c r="K86" s="11">
        <v>317.5</v>
      </c>
      <c r="L86" s="11">
        <f t="shared" si="4"/>
        <v>317.5</v>
      </c>
      <c r="M86" s="55" t="s">
        <v>68</v>
      </c>
      <c r="N86" s="60">
        <v>522.5</v>
      </c>
    </row>
    <row r="87" spans="2:14" x14ac:dyDescent="0.25">
      <c r="C87" t="s">
        <v>34</v>
      </c>
      <c r="F87" s="11"/>
      <c r="G87" s="11"/>
      <c r="H87" s="11"/>
      <c r="I87" s="11">
        <v>89.5</v>
      </c>
      <c r="K87" s="11"/>
      <c r="L87" s="11">
        <f t="shared" si="4"/>
        <v>89.5</v>
      </c>
      <c r="M87" s="55" t="s">
        <v>68</v>
      </c>
      <c r="N87" s="60">
        <v>97.4</v>
      </c>
    </row>
    <row r="88" spans="2:14" x14ac:dyDescent="0.25">
      <c r="C88" t="s">
        <v>243</v>
      </c>
      <c r="F88" s="11"/>
      <c r="G88" s="11"/>
      <c r="H88" s="11"/>
      <c r="I88" s="11"/>
      <c r="J88" s="21" t="s">
        <v>209</v>
      </c>
      <c r="K88" s="11">
        <v>135</v>
      </c>
      <c r="L88" s="11">
        <f t="shared" si="4"/>
        <v>135</v>
      </c>
      <c r="M88" s="55" t="s">
        <v>68</v>
      </c>
      <c r="N88" s="60">
        <v>187.5</v>
      </c>
    </row>
    <row r="89" spans="2:14" ht="15.75" x14ac:dyDescent="0.25">
      <c r="B89" s="9" t="s">
        <v>55</v>
      </c>
      <c r="F89" s="11"/>
      <c r="G89" s="11"/>
      <c r="H89" s="11"/>
      <c r="I89" s="11"/>
      <c r="K89" s="11"/>
      <c r="L89" s="11"/>
      <c r="M89" s="55" t="s">
        <v>68</v>
      </c>
      <c r="N89" s="60"/>
    </row>
    <row r="90" spans="2:14" x14ac:dyDescent="0.25">
      <c r="C90" t="s">
        <v>56</v>
      </c>
      <c r="F90" s="11"/>
      <c r="G90" s="11"/>
      <c r="H90" s="11"/>
      <c r="I90" s="11">
        <v>138.79</v>
      </c>
      <c r="J90" s="21" t="s">
        <v>245</v>
      </c>
      <c r="K90" s="11">
        <v>400</v>
      </c>
      <c r="L90" s="11">
        <f t="shared" si="4"/>
        <v>538.79</v>
      </c>
      <c r="M90" s="55" t="s">
        <v>68</v>
      </c>
      <c r="N90" s="60">
        <v>102.97000000000003</v>
      </c>
    </row>
    <row r="91" spans="2:14" x14ac:dyDescent="0.25">
      <c r="C91" t="s">
        <v>121</v>
      </c>
      <c r="F91" s="11"/>
      <c r="G91" s="11"/>
      <c r="H91" s="11"/>
      <c r="I91" s="11">
        <v>306.33999999999997</v>
      </c>
      <c r="K91" s="11"/>
      <c r="L91" s="11">
        <f t="shared" si="4"/>
        <v>306.33999999999997</v>
      </c>
      <c r="M91" s="55" t="s">
        <v>68</v>
      </c>
      <c r="N91" s="60">
        <v>613.47</v>
      </c>
    </row>
    <row r="92" spans="2:14" x14ac:dyDescent="0.25">
      <c r="C92" t="s">
        <v>59</v>
      </c>
      <c r="F92" s="11"/>
      <c r="G92" s="11"/>
      <c r="H92" s="11">
        <v>396.31</v>
      </c>
      <c r="I92" s="11">
        <v>286.23</v>
      </c>
      <c r="K92" s="11"/>
      <c r="L92" s="11">
        <f t="shared" si="4"/>
        <v>682.54</v>
      </c>
      <c r="M92" s="55" t="s">
        <v>68</v>
      </c>
      <c r="N92" s="60">
        <v>661.29</v>
      </c>
    </row>
    <row r="93" spans="2:14" x14ac:dyDescent="0.25">
      <c r="F93" s="11"/>
      <c r="G93" s="11"/>
      <c r="H93" s="11"/>
      <c r="I93" s="11"/>
      <c r="K93" s="11"/>
      <c r="L93" s="11">
        <f t="shared" si="4"/>
        <v>0</v>
      </c>
      <c r="M93" s="55" t="s">
        <v>68</v>
      </c>
      <c r="N93" s="60">
        <v>0</v>
      </c>
    </row>
    <row r="94" spans="2:14" ht="15.75" thickBot="1" x14ac:dyDescent="0.3">
      <c r="F94" s="15">
        <f>SUM(F65:F93)</f>
        <v>1.1823431123048067E-11</v>
      </c>
      <c r="G94" s="15">
        <f t="shared" ref="G94:L94" si="5">SUM(G65:G93)</f>
        <v>0</v>
      </c>
      <c r="H94" s="15">
        <f t="shared" si="5"/>
        <v>-8.5265128291212022E-13</v>
      </c>
      <c r="I94" s="15">
        <f t="shared" si="5"/>
        <v>-5.1159076974727213E-13</v>
      </c>
      <c r="J94" s="11"/>
      <c r="K94" s="15">
        <f t="shared" si="5"/>
        <v>0</v>
      </c>
      <c r="L94" s="15">
        <f t="shared" si="5"/>
        <v>-3.4106051316484809E-12</v>
      </c>
      <c r="M94" s="55" t="s">
        <v>68</v>
      </c>
      <c r="N94" s="64">
        <f>SUM(N65:N93)</f>
        <v>7.2759576141834259E-12</v>
      </c>
    </row>
    <row r="95" spans="2:14" ht="15.75" thickTop="1" x14ac:dyDescent="0.25">
      <c r="F95" s="11"/>
      <c r="G95" s="11" t="s">
        <v>116</v>
      </c>
      <c r="H95" s="11" t="s">
        <v>116</v>
      </c>
      <c r="I95" s="11" t="s">
        <v>116</v>
      </c>
      <c r="K95" s="11"/>
      <c r="L95" s="11"/>
      <c r="M95" s="56"/>
      <c r="N95" s="60"/>
    </row>
    <row r="96" spans="2:14" x14ac:dyDescent="0.25">
      <c r="G96" t="s">
        <v>117</v>
      </c>
      <c r="H96" t="s">
        <v>117</v>
      </c>
      <c r="I96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928F-11EC-4AF0-BFB1-0CE1DB4846D8}">
  <dimension ref="A1:AD60"/>
  <sheetViews>
    <sheetView topLeftCell="A26" workbookViewId="0">
      <selection activeCell="A6" sqref="A1:XFD1048576"/>
    </sheetView>
  </sheetViews>
  <sheetFormatPr defaultRowHeight="15" x14ac:dyDescent="0.25"/>
  <cols>
    <col min="1" max="1" width="2" customWidth="1"/>
    <col min="3" max="3" width="22" customWidth="1"/>
    <col min="4" max="4" width="9.5703125" customWidth="1"/>
    <col min="5" max="5" width="9.7109375" customWidth="1"/>
    <col min="6" max="6" width="1.42578125" customWidth="1"/>
    <col min="7" max="7" width="13.5703125" customWidth="1"/>
    <col min="8" max="8" width="10.28515625" customWidth="1"/>
    <col min="9" max="9" width="2.140625" customWidth="1"/>
    <col min="10" max="10" width="9.28515625" customWidth="1"/>
    <col min="11" max="11" width="9.7109375" customWidth="1"/>
    <col min="12" max="12" width="1.7109375" customWidth="1"/>
    <col min="13" max="13" width="9.85546875" customWidth="1"/>
    <col min="14" max="14" width="10.28515625" customWidth="1"/>
    <col min="15" max="15" width="2" customWidth="1"/>
    <col min="29" max="29" width="11.42578125" customWidth="1"/>
  </cols>
  <sheetData>
    <row r="1" spans="1:29" ht="21" x14ac:dyDescent="0.35">
      <c r="A1" s="7" t="s">
        <v>0</v>
      </c>
    </row>
    <row r="3" spans="1:29" ht="18.75" x14ac:dyDescent="0.3">
      <c r="A3" s="3" t="s">
        <v>26</v>
      </c>
      <c r="B3" s="3"/>
      <c r="C3" s="3"/>
      <c r="D3" s="2" t="s">
        <v>40</v>
      </c>
      <c r="E3" s="2"/>
      <c r="F3" s="2"/>
      <c r="G3" s="2" t="s">
        <v>39</v>
      </c>
      <c r="H3" s="3"/>
      <c r="I3" s="3"/>
      <c r="J3" s="2" t="s">
        <v>40</v>
      </c>
      <c r="K3" s="2"/>
      <c r="L3" s="2"/>
      <c r="M3" s="2" t="s">
        <v>39</v>
      </c>
      <c r="N3" s="3"/>
      <c r="O3" s="3"/>
    </row>
    <row r="4" spans="1:29" ht="15.75" x14ac:dyDescent="0.25">
      <c r="D4" s="5"/>
      <c r="E4" s="5">
        <v>2024</v>
      </c>
      <c r="G4" s="5"/>
      <c r="H4" s="5">
        <v>2023</v>
      </c>
      <c r="J4" s="5"/>
      <c r="K4" s="5">
        <v>2023</v>
      </c>
      <c r="M4" s="5"/>
      <c r="N4" s="5">
        <v>2022</v>
      </c>
      <c r="S4" s="9"/>
      <c r="W4" s="11"/>
      <c r="X4" s="11"/>
      <c r="Y4" s="11"/>
      <c r="Z4" s="11"/>
      <c r="AA4" s="21"/>
      <c r="AB4" s="11"/>
      <c r="AC4" s="11"/>
    </row>
    <row r="5" spans="1:29" x14ac:dyDescent="0.25">
      <c r="E5" t="s">
        <v>10</v>
      </c>
      <c r="H5" t="s">
        <v>10</v>
      </c>
      <c r="K5" t="s">
        <v>10</v>
      </c>
      <c r="N5" t="s">
        <v>10</v>
      </c>
      <c r="W5" s="11"/>
      <c r="X5" s="11"/>
      <c r="Y5" s="11"/>
      <c r="Z5" s="11"/>
      <c r="AA5" s="21"/>
      <c r="AB5" s="11"/>
      <c r="AC5" s="11"/>
    </row>
    <row r="6" spans="1:29" ht="15.75" x14ac:dyDescent="0.25">
      <c r="A6" s="9" t="s">
        <v>27</v>
      </c>
      <c r="O6" s="25"/>
      <c r="W6" s="11"/>
      <c r="X6" s="11"/>
      <c r="Y6" s="11"/>
      <c r="Z6" s="11"/>
      <c r="AA6" s="21"/>
      <c r="AB6" s="11"/>
      <c r="AC6" s="11"/>
    </row>
    <row r="7" spans="1:29" x14ac:dyDescent="0.25">
      <c r="A7" t="s">
        <v>227</v>
      </c>
      <c r="D7" s="32"/>
      <c r="E7" s="32">
        <v>12500</v>
      </c>
      <c r="G7" s="25"/>
      <c r="H7" s="25">
        <v>11179</v>
      </c>
      <c r="J7" s="32"/>
      <c r="K7" s="32">
        <v>12000</v>
      </c>
      <c r="M7" s="25"/>
      <c r="N7" s="25">
        <f>11527+244</f>
        <v>11771</v>
      </c>
      <c r="O7" s="25"/>
      <c r="Q7" t="s">
        <v>249</v>
      </c>
      <c r="W7" s="11"/>
      <c r="X7" s="11"/>
      <c r="Y7" s="11"/>
      <c r="Z7" s="11"/>
      <c r="AA7" s="21"/>
      <c r="AB7" s="11"/>
      <c r="AC7" s="11"/>
    </row>
    <row r="8" spans="1:29" x14ac:dyDescent="0.25">
      <c r="A8" t="s">
        <v>29</v>
      </c>
      <c r="D8" s="32"/>
      <c r="E8" s="32">
        <v>1000</v>
      </c>
      <c r="G8" s="25"/>
      <c r="H8" s="25">
        <v>718</v>
      </c>
      <c r="J8" s="32"/>
      <c r="K8" s="32">
        <v>1200</v>
      </c>
      <c r="M8" s="25"/>
      <c r="N8" s="25">
        <v>1141</v>
      </c>
      <c r="O8" s="25"/>
      <c r="Q8" t="s">
        <v>260</v>
      </c>
      <c r="T8" s="6"/>
      <c r="W8" s="11"/>
      <c r="X8" s="11"/>
      <c r="Y8" s="11"/>
      <c r="Z8" s="11"/>
      <c r="AA8" s="21"/>
      <c r="AB8" s="11"/>
      <c r="AC8" s="11"/>
    </row>
    <row r="9" spans="1:29" x14ac:dyDescent="0.25">
      <c r="A9" t="s">
        <v>30</v>
      </c>
      <c r="D9" s="32"/>
      <c r="E9" s="32">
        <v>1500</v>
      </c>
      <c r="G9" s="25"/>
      <c r="H9" s="25">
        <v>1500</v>
      </c>
      <c r="J9" s="32"/>
      <c r="K9" s="32">
        <v>1500</v>
      </c>
      <c r="M9" s="25"/>
      <c r="N9" s="25">
        <v>1500</v>
      </c>
      <c r="O9" s="25"/>
      <c r="Q9" t="s">
        <v>250</v>
      </c>
      <c r="W9" s="11"/>
      <c r="X9" s="11"/>
      <c r="Y9" s="11"/>
      <c r="Z9" s="11"/>
      <c r="AA9" s="21"/>
      <c r="AB9" s="11"/>
      <c r="AC9" s="11"/>
    </row>
    <row r="10" spans="1:29" x14ac:dyDescent="0.25">
      <c r="A10" t="s">
        <v>31</v>
      </c>
      <c r="D10" s="32"/>
      <c r="E10" s="32">
        <v>250</v>
      </c>
      <c r="G10" s="25"/>
      <c r="H10" s="25">
        <v>100</v>
      </c>
      <c r="J10" s="32"/>
      <c r="K10" s="32">
        <v>350</v>
      </c>
      <c r="M10" s="25"/>
      <c r="N10" s="25">
        <v>250</v>
      </c>
      <c r="O10" s="25"/>
      <c r="Q10" t="s">
        <v>261</v>
      </c>
      <c r="W10" s="11"/>
      <c r="X10" s="11"/>
      <c r="Y10" s="11"/>
      <c r="Z10" s="11"/>
      <c r="AA10" s="21"/>
      <c r="AB10" s="11"/>
      <c r="AC10" s="11"/>
    </row>
    <row r="11" spans="1:29" x14ac:dyDescent="0.25">
      <c r="A11" t="s">
        <v>153</v>
      </c>
      <c r="D11" s="32"/>
      <c r="E11" s="32">
        <v>350</v>
      </c>
      <c r="G11" s="25"/>
      <c r="H11" s="25">
        <v>802</v>
      </c>
      <c r="J11" s="32"/>
      <c r="K11" s="32">
        <v>350</v>
      </c>
      <c r="M11" s="25"/>
      <c r="N11" s="25">
        <v>332</v>
      </c>
      <c r="O11" s="25"/>
      <c r="Q11" t="s">
        <v>262</v>
      </c>
      <c r="W11" s="11"/>
      <c r="X11" s="11"/>
      <c r="Y11" s="11"/>
      <c r="Z11" s="11"/>
      <c r="AA11" s="21"/>
      <c r="AB11" s="11"/>
      <c r="AC11" s="11"/>
    </row>
    <row r="12" spans="1:29" x14ac:dyDescent="0.25">
      <c r="A12" t="s">
        <v>199</v>
      </c>
      <c r="D12" s="32"/>
      <c r="E12" s="32">
        <v>200</v>
      </c>
      <c r="G12" s="25"/>
      <c r="H12" s="25">
        <v>25</v>
      </c>
      <c r="J12" s="32"/>
      <c r="K12" s="32">
        <v>240</v>
      </c>
      <c r="M12" s="25"/>
      <c r="N12" s="25">
        <v>240</v>
      </c>
      <c r="O12" s="25"/>
      <c r="Q12" t="s">
        <v>251</v>
      </c>
      <c r="W12" s="11"/>
      <c r="X12" s="11"/>
      <c r="Y12" s="11"/>
      <c r="Z12" s="11"/>
      <c r="AA12" s="21"/>
      <c r="AB12" s="11"/>
      <c r="AC12" s="11"/>
    </row>
    <row r="13" spans="1:29" x14ac:dyDescent="0.25">
      <c r="A13" t="s">
        <v>193</v>
      </c>
      <c r="D13" s="32"/>
      <c r="E13" s="32">
        <v>0</v>
      </c>
      <c r="G13" s="25"/>
      <c r="H13" s="25">
        <v>1000</v>
      </c>
      <c r="J13" s="32"/>
      <c r="K13" s="32">
        <v>0</v>
      </c>
      <c r="M13" s="25"/>
      <c r="N13" s="25">
        <v>0</v>
      </c>
      <c r="O13" s="25"/>
      <c r="Q13" t="s">
        <v>263</v>
      </c>
      <c r="W13" s="11"/>
      <c r="X13" s="11"/>
      <c r="Y13" s="11"/>
      <c r="Z13" s="11"/>
      <c r="AA13" s="21"/>
      <c r="AB13" s="11"/>
      <c r="AC13" s="11"/>
    </row>
    <row r="14" spans="1:29" x14ac:dyDescent="0.25">
      <c r="A14" t="s">
        <v>172</v>
      </c>
      <c r="D14" s="32"/>
      <c r="E14" s="32">
        <v>0</v>
      </c>
      <c r="G14" s="25"/>
      <c r="H14" s="25">
        <v>0</v>
      </c>
      <c r="J14" s="32"/>
      <c r="K14" s="32">
        <v>0</v>
      </c>
      <c r="M14" s="25"/>
      <c r="N14" s="25">
        <v>0</v>
      </c>
      <c r="O14" s="25"/>
      <c r="Q14" t="s">
        <v>252</v>
      </c>
      <c r="W14" s="11"/>
      <c r="X14" s="11"/>
      <c r="Y14" s="11"/>
      <c r="Z14" s="11"/>
      <c r="AA14" s="21"/>
      <c r="AB14" s="11"/>
      <c r="AC14" s="11"/>
    </row>
    <row r="15" spans="1:29" x14ac:dyDescent="0.25">
      <c r="A15" t="s">
        <v>152</v>
      </c>
      <c r="D15" s="32"/>
      <c r="E15" s="32">
        <v>1000</v>
      </c>
      <c r="G15" s="25"/>
      <c r="H15" s="25">
        <v>1500</v>
      </c>
      <c r="J15" s="32"/>
      <c r="K15" s="32">
        <v>1200</v>
      </c>
      <c r="M15" s="25"/>
      <c r="N15" s="25">
        <v>1015</v>
      </c>
      <c r="O15" s="25"/>
      <c r="Q15" t="s">
        <v>264</v>
      </c>
      <c r="W15" s="11"/>
      <c r="X15" s="11"/>
      <c r="Y15" s="11"/>
      <c r="Z15" s="11"/>
      <c r="AA15" s="21"/>
      <c r="AB15" s="11"/>
      <c r="AC15" s="11"/>
    </row>
    <row r="16" spans="1:29" x14ac:dyDescent="0.25">
      <c r="A16" t="s">
        <v>200</v>
      </c>
      <c r="D16" s="32"/>
      <c r="E16" s="32">
        <v>200</v>
      </c>
      <c r="G16" s="25" t="s">
        <v>64</v>
      </c>
      <c r="H16" s="25">
        <v>112</v>
      </c>
      <c r="J16" s="32"/>
      <c r="K16" s="32">
        <v>500</v>
      </c>
      <c r="M16" s="25" t="s">
        <v>64</v>
      </c>
      <c r="N16" s="25">
        <v>550</v>
      </c>
      <c r="O16" s="25"/>
      <c r="Q16" t="s">
        <v>253</v>
      </c>
      <c r="W16" s="11"/>
      <c r="X16" s="11"/>
      <c r="Y16" s="11"/>
      <c r="Z16" s="11"/>
      <c r="AA16" s="21"/>
      <c r="AB16" s="11"/>
      <c r="AC16" s="11"/>
    </row>
    <row r="17" spans="1:30" x14ac:dyDescent="0.25">
      <c r="A17" t="s">
        <v>35</v>
      </c>
      <c r="D17" s="32"/>
      <c r="E17" s="32">
        <v>1000</v>
      </c>
      <c r="G17" s="25"/>
      <c r="H17" s="25">
        <v>1700</v>
      </c>
      <c r="J17" s="32"/>
      <c r="K17" s="32">
        <v>325</v>
      </c>
      <c r="M17" s="25"/>
      <c r="N17" s="25">
        <v>400</v>
      </c>
      <c r="O17" s="25"/>
      <c r="Q17" t="s">
        <v>254</v>
      </c>
      <c r="W17" s="11"/>
      <c r="X17" s="11"/>
      <c r="Y17" s="11"/>
      <c r="Z17" s="11"/>
      <c r="AA17" s="21"/>
      <c r="AB17" s="11"/>
      <c r="AC17" s="11"/>
    </row>
    <row r="18" spans="1:30" x14ac:dyDescent="0.25">
      <c r="A18" t="s">
        <v>34</v>
      </c>
      <c r="D18" s="32"/>
      <c r="E18" s="32">
        <v>700</v>
      </c>
      <c r="G18" s="25"/>
      <c r="H18" s="25">
        <v>771</v>
      </c>
      <c r="J18" s="32"/>
      <c r="K18" s="32">
        <v>700</v>
      </c>
      <c r="M18" s="25"/>
      <c r="N18" s="25">
        <v>675</v>
      </c>
      <c r="O18" s="25"/>
      <c r="Q18" t="s">
        <v>255</v>
      </c>
      <c r="W18" s="11"/>
      <c r="X18" s="11"/>
      <c r="Y18" s="11"/>
      <c r="Z18" s="11"/>
      <c r="AA18" s="21"/>
      <c r="AB18" s="11"/>
      <c r="AC18" s="11"/>
    </row>
    <row r="19" spans="1:30" x14ac:dyDescent="0.25">
      <c r="A19" t="s">
        <v>36</v>
      </c>
      <c r="D19" s="32"/>
      <c r="E19" s="32">
        <v>200</v>
      </c>
      <c r="G19" s="25"/>
      <c r="H19" s="25">
        <v>0</v>
      </c>
      <c r="J19" s="32"/>
      <c r="K19" s="32">
        <v>500</v>
      </c>
      <c r="M19" s="25"/>
      <c r="N19" s="25">
        <v>500</v>
      </c>
      <c r="O19" s="25"/>
      <c r="Q19" t="s">
        <v>256</v>
      </c>
      <c r="W19" s="11"/>
      <c r="X19" s="11"/>
      <c r="Y19" s="11"/>
      <c r="Z19" s="11"/>
      <c r="AA19" s="21"/>
      <c r="AB19" s="11"/>
      <c r="AC19" s="11"/>
    </row>
    <row r="20" spans="1:30" x14ac:dyDescent="0.25">
      <c r="A20" t="s">
        <v>201</v>
      </c>
      <c r="D20" s="32"/>
      <c r="E20" s="32">
        <v>250</v>
      </c>
      <c r="G20" s="25"/>
      <c r="H20" s="25">
        <v>687</v>
      </c>
      <c r="J20" s="32"/>
      <c r="K20" s="32">
        <v>150</v>
      </c>
      <c r="M20" s="25"/>
      <c r="N20" s="25">
        <v>188</v>
      </c>
      <c r="O20" s="25"/>
      <c r="Q20" t="s">
        <v>257</v>
      </c>
      <c r="W20" s="11"/>
      <c r="X20" s="11"/>
      <c r="Y20" s="11"/>
      <c r="Z20" s="11"/>
      <c r="AA20" s="21"/>
      <c r="AB20" s="11"/>
      <c r="AC20" s="11"/>
    </row>
    <row r="21" spans="1:30" x14ac:dyDescent="0.25">
      <c r="A21" t="s">
        <v>38</v>
      </c>
      <c r="D21" s="32"/>
      <c r="E21" s="32">
        <v>75</v>
      </c>
      <c r="G21" s="25"/>
      <c r="H21" s="25">
        <v>14</v>
      </c>
      <c r="J21" s="32"/>
      <c r="K21" s="32">
        <v>35</v>
      </c>
      <c r="M21" s="25"/>
      <c r="N21" s="25">
        <v>4</v>
      </c>
      <c r="O21" s="25"/>
      <c r="Q21" t="s">
        <v>265</v>
      </c>
    </row>
    <row r="22" spans="1:30" ht="15.75" x14ac:dyDescent="0.25">
      <c r="A22" s="9" t="s">
        <v>49</v>
      </c>
      <c r="D22" s="32"/>
      <c r="E22" s="34">
        <f>SUM(E7:E21)</f>
        <v>19225</v>
      </c>
      <c r="G22" s="25"/>
      <c r="H22" s="35">
        <f>SUM(H7:H21)</f>
        <v>20108</v>
      </c>
      <c r="J22" s="32"/>
      <c r="K22" s="34">
        <f>SUM(K7:K21)</f>
        <v>19050</v>
      </c>
      <c r="M22" s="25"/>
      <c r="N22" s="35">
        <f>SUM(N7:N21)</f>
        <v>18566</v>
      </c>
      <c r="O22" s="25"/>
      <c r="Q22" t="s">
        <v>258</v>
      </c>
    </row>
    <row r="23" spans="1:30" x14ac:dyDescent="0.25">
      <c r="D23" s="32"/>
      <c r="E23" s="32"/>
      <c r="G23" s="25"/>
      <c r="H23" s="25"/>
      <c r="J23" s="32"/>
      <c r="K23" s="32"/>
      <c r="M23" s="25"/>
      <c r="N23" s="25"/>
      <c r="O23" s="25"/>
      <c r="Q23" t="s">
        <v>259</v>
      </c>
    </row>
    <row r="24" spans="1:30" ht="18.75" x14ac:dyDescent="0.3">
      <c r="A24" s="3" t="s">
        <v>41</v>
      </c>
      <c r="D24" s="32"/>
      <c r="E24" s="32"/>
      <c r="G24" s="25"/>
      <c r="H24" s="25"/>
      <c r="J24" s="32"/>
      <c r="K24" s="32"/>
      <c r="M24" s="25"/>
      <c r="N24" s="25"/>
      <c r="O24" s="25"/>
      <c r="R24" s="9"/>
      <c r="V24" s="11"/>
      <c r="W24" s="11"/>
      <c r="X24" s="11"/>
      <c r="Y24" s="11"/>
      <c r="Z24" s="21"/>
      <c r="AA24" s="11"/>
      <c r="AB24" s="11"/>
      <c r="AC24" s="56"/>
      <c r="AD24" s="60"/>
    </row>
    <row r="25" spans="1:30" x14ac:dyDescent="0.25">
      <c r="A25" s="2" t="s">
        <v>42</v>
      </c>
      <c r="D25" s="32"/>
      <c r="E25" s="32"/>
      <c r="G25" s="25"/>
      <c r="H25" s="25"/>
      <c r="J25" s="32"/>
      <c r="K25" s="32"/>
      <c r="M25" s="25"/>
      <c r="N25" s="25"/>
      <c r="O25" s="25"/>
      <c r="T25" s="11"/>
      <c r="U25" s="11"/>
      <c r="V25" s="11"/>
      <c r="W25" s="11"/>
      <c r="X25" s="21"/>
      <c r="Y25" s="11"/>
      <c r="Z25" s="11"/>
      <c r="AA25" s="11"/>
      <c r="AB25" s="11"/>
      <c r="AC25" s="56"/>
      <c r="AD25" s="60"/>
    </row>
    <row r="26" spans="1:30" x14ac:dyDescent="0.25">
      <c r="B26" t="s">
        <v>43</v>
      </c>
      <c r="D26" s="32">
        <v>2100</v>
      </c>
      <c r="E26" s="32"/>
      <c r="G26" s="25">
        <v>1430</v>
      </c>
      <c r="H26" s="25"/>
      <c r="J26" s="32">
        <v>3000</v>
      </c>
      <c r="K26" s="32"/>
      <c r="M26" s="25">
        <v>2318</v>
      </c>
      <c r="N26" s="25"/>
      <c r="O26" s="25"/>
      <c r="T26" s="11"/>
      <c r="U26" s="11"/>
      <c r="V26" s="11"/>
      <c r="W26" s="11"/>
      <c r="X26" s="21"/>
      <c r="Y26" s="11"/>
      <c r="Z26" s="11"/>
      <c r="AA26" s="11"/>
      <c r="AB26" s="11"/>
      <c r="AC26" s="56"/>
      <c r="AD26" s="60"/>
    </row>
    <row r="27" spans="1:30" x14ac:dyDescent="0.25">
      <c r="B27" t="s">
        <v>103</v>
      </c>
      <c r="D27" s="32"/>
      <c r="E27" s="32"/>
      <c r="G27" s="25"/>
      <c r="H27" s="25"/>
      <c r="J27" s="32"/>
      <c r="K27" s="32"/>
      <c r="M27" s="25" t="s">
        <v>203</v>
      </c>
      <c r="N27" s="25"/>
      <c r="O27" s="25"/>
      <c r="T27" s="11"/>
      <c r="U27" s="11"/>
      <c r="V27" s="11"/>
      <c r="W27" s="11"/>
      <c r="X27" s="21"/>
      <c r="Y27" s="11"/>
      <c r="Z27" s="11"/>
      <c r="AA27" s="11"/>
      <c r="AB27" s="11"/>
      <c r="AC27" s="56"/>
      <c r="AD27" s="60"/>
    </row>
    <row r="28" spans="1:30" x14ac:dyDescent="0.25">
      <c r="B28" t="s">
        <v>104</v>
      </c>
      <c r="D28" s="32">
        <v>500</v>
      </c>
      <c r="E28" s="32"/>
      <c r="G28" s="25">
        <v>590</v>
      </c>
      <c r="H28" s="25"/>
      <c r="J28" s="32">
        <v>500</v>
      </c>
      <c r="K28" s="32"/>
      <c r="M28" s="25">
        <f>352+151</f>
        <v>503</v>
      </c>
      <c r="N28" s="25"/>
      <c r="O28" s="25"/>
      <c r="T28" s="11"/>
      <c r="U28" s="11"/>
      <c r="V28" s="11"/>
      <c r="W28" s="11"/>
      <c r="X28" s="21"/>
      <c r="Y28" s="11"/>
      <c r="Z28" s="11"/>
      <c r="AA28" s="11"/>
      <c r="AB28" s="11"/>
      <c r="AC28" s="56"/>
      <c r="AD28" s="60"/>
    </row>
    <row r="29" spans="1:30" x14ac:dyDescent="0.25">
      <c r="B29" t="s">
        <v>45</v>
      </c>
      <c r="D29" s="32">
        <v>700</v>
      </c>
      <c r="E29" s="32"/>
      <c r="G29" s="25">
        <v>694</v>
      </c>
      <c r="H29" s="25"/>
      <c r="J29" s="32">
        <v>650</v>
      </c>
      <c r="K29" s="32"/>
      <c r="M29" s="25">
        <v>636</v>
      </c>
      <c r="N29" s="25"/>
      <c r="O29" s="25"/>
      <c r="T29" s="11"/>
      <c r="U29" s="11"/>
      <c r="V29" s="11"/>
      <c r="W29" s="11"/>
      <c r="X29" s="21"/>
      <c r="Y29" s="11"/>
      <c r="Z29" s="11"/>
      <c r="AA29" s="11"/>
      <c r="AB29" s="11"/>
      <c r="AC29" s="56"/>
      <c r="AD29" s="60"/>
    </row>
    <row r="30" spans="1:30" x14ac:dyDescent="0.25">
      <c r="B30" t="s">
        <v>46</v>
      </c>
      <c r="D30" s="32">
        <v>700</v>
      </c>
      <c r="E30" s="32"/>
      <c r="G30" s="25">
        <v>631</v>
      </c>
      <c r="H30" s="25"/>
      <c r="J30" s="32">
        <v>650</v>
      </c>
      <c r="K30" s="32"/>
      <c r="M30" s="25">
        <v>600</v>
      </c>
      <c r="N30" s="25"/>
      <c r="O30" s="25"/>
      <c r="T30" s="11"/>
      <c r="U30" s="11"/>
      <c r="V30" s="11"/>
      <c r="W30" s="11"/>
      <c r="X30" s="21"/>
      <c r="Y30" s="11"/>
      <c r="Z30" s="11"/>
      <c r="AA30" s="11"/>
      <c r="AB30" s="11"/>
      <c r="AC30" s="56"/>
      <c r="AD30" s="60"/>
    </row>
    <row r="31" spans="1:30" x14ac:dyDescent="0.25">
      <c r="B31" t="s">
        <v>47</v>
      </c>
      <c r="D31" s="32">
        <v>1300</v>
      </c>
      <c r="E31" s="32"/>
      <c r="G31" s="25">
        <v>1285</v>
      </c>
      <c r="H31" s="25"/>
      <c r="J31" s="32">
        <v>1200</v>
      </c>
      <c r="K31" s="32"/>
      <c r="M31" s="25">
        <v>1187</v>
      </c>
      <c r="N31" s="25"/>
      <c r="O31" s="25"/>
      <c r="T31" s="11"/>
      <c r="U31" s="11"/>
      <c r="V31" s="11"/>
      <c r="W31" s="11"/>
      <c r="X31" s="21"/>
      <c r="Y31" s="11"/>
      <c r="Z31" s="11"/>
      <c r="AA31" s="11"/>
      <c r="AB31" s="11"/>
      <c r="AC31" s="56"/>
      <c r="AD31" s="60"/>
    </row>
    <row r="32" spans="1:30" x14ac:dyDescent="0.25">
      <c r="B32" s="45" t="s">
        <v>163</v>
      </c>
      <c r="C32" s="45"/>
      <c r="D32" s="51">
        <v>1015</v>
      </c>
      <c r="E32" s="32"/>
      <c r="G32" s="51">
        <v>3344</v>
      </c>
      <c r="H32" s="25"/>
      <c r="J32" s="51">
        <v>2015</v>
      </c>
      <c r="K32" s="32"/>
      <c r="M32" s="51">
        <v>1081</v>
      </c>
      <c r="N32" s="25"/>
      <c r="O32" s="25"/>
      <c r="T32" s="11"/>
      <c r="U32" s="11"/>
      <c r="V32" s="11"/>
      <c r="W32" s="11"/>
      <c r="X32" s="21"/>
      <c r="Y32" s="11"/>
      <c r="Z32" s="11"/>
      <c r="AA32" s="11"/>
      <c r="AB32" s="11"/>
      <c r="AC32" s="56"/>
      <c r="AD32" s="60"/>
    </row>
    <row r="33" spans="1:30" x14ac:dyDescent="0.25">
      <c r="D33" s="32"/>
      <c r="E33" s="32">
        <f>SUM(D26:D32)</f>
        <v>6315</v>
      </c>
      <c r="G33" s="25"/>
      <c r="H33" s="25">
        <f>SUM(G26:G32)</f>
        <v>7974</v>
      </c>
      <c r="J33" s="32"/>
      <c r="K33" s="32">
        <f>SUM(J26:J32)</f>
        <v>8015</v>
      </c>
      <c r="M33" s="25"/>
      <c r="N33" s="25">
        <f>SUM(M26:M32)</f>
        <v>6325</v>
      </c>
      <c r="O33" s="25"/>
      <c r="T33" s="11"/>
      <c r="U33" s="11"/>
      <c r="V33" s="11"/>
      <c r="W33" s="11"/>
      <c r="X33" s="21"/>
      <c r="Y33" s="11"/>
      <c r="Z33" s="11"/>
      <c r="AA33" s="11"/>
      <c r="AB33" s="11"/>
      <c r="AC33" s="56"/>
      <c r="AD33" s="60"/>
    </row>
    <row r="34" spans="1:30" ht="15.75" x14ac:dyDescent="0.25">
      <c r="A34" s="9" t="s">
        <v>50</v>
      </c>
      <c r="D34" s="32"/>
      <c r="E34" s="32"/>
      <c r="G34" s="25"/>
      <c r="H34" s="25"/>
      <c r="J34" s="32"/>
      <c r="K34" s="32"/>
      <c r="M34" s="25"/>
      <c r="N34" s="25"/>
      <c r="O34" s="25"/>
      <c r="T34" s="11"/>
      <c r="U34" s="11"/>
      <c r="V34" s="11"/>
      <c r="W34" s="11"/>
      <c r="X34" s="21"/>
      <c r="Y34" s="11"/>
      <c r="Z34" s="11"/>
      <c r="AA34" s="11"/>
      <c r="AB34" s="11"/>
      <c r="AC34" s="56"/>
      <c r="AD34" s="60"/>
    </row>
    <row r="35" spans="1:30" x14ac:dyDescent="0.25">
      <c r="B35" t="s">
        <v>51</v>
      </c>
      <c r="D35" s="32">
        <v>8750</v>
      </c>
      <c r="E35" s="32"/>
      <c r="G35" s="25">
        <v>8565</v>
      </c>
      <c r="H35" s="25"/>
      <c r="J35" s="32">
        <v>7100</v>
      </c>
      <c r="K35" s="32"/>
      <c r="M35" s="25">
        <v>9917</v>
      </c>
      <c r="N35" s="25"/>
      <c r="O35" s="25"/>
      <c r="T35" s="11"/>
      <c r="U35" s="11"/>
      <c r="V35" s="11"/>
      <c r="W35" s="11"/>
      <c r="X35" s="21"/>
      <c r="Y35" s="11"/>
      <c r="Z35" s="11"/>
      <c r="AA35" s="11"/>
      <c r="AB35" s="11"/>
      <c r="AC35" s="56"/>
      <c r="AD35" s="60"/>
    </row>
    <row r="36" spans="1:30" x14ac:dyDescent="0.25">
      <c r="B36" t="s">
        <v>52</v>
      </c>
      <c r="D36" s="32">
        <v>400</v>
      </c>
      <c r="E36" s="32"/>
      <c r="G36" s="25">
        <v>467</v>
      </c>
      <c r="H36" s="25"/>
      <c r="J36" s="32">
        <v>400</v>
      </c>
      <c r="K36" s="32"/>
      <c r="M36" s="25">
        <v>393</v>
      </c>
      <c r="N36" s="25"/>
      <c r="O36" s="25"/>
      <c r="T36" s="11"/>
      <c r="U36" s="11"/>
      <c r="V36" s="11"/>
      <c r="W36" s="11"/>
      <c r="X36" s="21"/>
      <c r="Y36" s="11"/>
      <c r="Z36" s="11"/>
      <c r="AA36" s="11"/>
      <c r="AB36" s="11"/>
      <c r="AC36" s="56"/>
      <c r="AD36" s="60"/>
    </row>
    <row r="37" spans="1:30" x14ac:dyDescent="0.25">
      <c r="B37" t="s">
        <v>53</v>
      </c>
      <c r="D37" s="32">
        <v>500</v>
      </c>
      <c r="E37" s="32"/>
      <c r="G37" s="25">
        <v>702</v>
      </c>
      <c r="H37" s="25"/>
      <c r="J37" s="32">
        <v>500</v>
      </c>
      <c r="K37" s="32"/>
      <c r="M37" s="25">
        <v>541</v>
      </c>
      <c r="N37" s="25"/>
      <c r="O37" s="25"/>
      <c r="T37" s="11"/>
      <c r="U37" s="11"/>
      <c r="V37" s="11"/>
      <c r="W37" s="11"/>
      <c r="X37" s="21"/>
      <c r="Y37" s="11"/>
      <c r="Z37" s="11"/>
      <c r="AA37" s="11"/>
      <c r="AB37" s="11"/>
      <c r="AC37" s="56"/>
      <c r="AD37" s="60"/>
    </row>
    <row r="38" spans="1:30" x14ac:dyDescent="0.25">
      <c r="B38" t="s">
        <v>184</v>
      </c>
      <c r="D38" s="32">
        <v>175</v>
      </c>
      <c r="E38" s="32"/>
      <c r="G38" s="25">
        <v>522</v>
      </c>
      <c r="H38" s="25"/>
      <c r="J38" s="32">
        <v>800</v>
      </c>
      <c r="K38" s="32"/>
      <c r="M38" s="25">
        <v>1450</v>
      </c>
      <c r="N38" s="25"/>
      <c r="O38" s="25"/>
      <c r="T38" s="11"/>
      <c r="U38" s="11"/>
      <c r="V38" s="11"/>
      <c r="W38" s="11"/>
      <c r="X38" s="21"/>
      <c r="Y38" s="11"/>
      <c r="Z38" s="11"/>
      <c r="AA38" s="11"/>
      <c r="AB38" s="11"/>
      <c r="AC38" s="56"/>
      <c r="AD38" s="60"/>
    </row>
    <row r="39" spans="1:30" x14ac:dyDescent="0.25">
      <c r="B39" t="s">
        <v>231</v>
      </c>
      <c r="D39" s="32">
        <v>150</v>
      </c>
      <c r="E39" s="32"/>
      <c r="G39" s="25">
        <v>188</v>
      </c>
      <c r="H39" s="25"/>
      <c r="J39" s="32">
        <v>395</v>
      </c>
      <c r="K39" s="32"/>
      <c r="M39" s="25">
        <v>530</v>
      </c>
      <c r="N39" s="25"/>
      <c r="O39" s="25"/>
      <c r="U39" s="11"/>
      <c r="V39" s="11"/>
      <c r="W39" s="11"/>
      <c r="X39" s="11"/>
      <c r="Y39" s="21"/>
      <c r="Z39" s="11"/>
      <c r="AA39" s="11"/>
      <c r="AB39" s="11"/>
      <c r="AC39" s="56"/>
      <c r="AD39" s="60"/>
    </row>
    <row r="40" spans="1:30" x14ac:dyDescent="0.25">
      <c r="B40" t="s">
        <v>54</v>
      </c>
      <c r="D40" s="32">
        <v>500</v>
      </c>
      <c r="E40" s="32"/>
      <c r="G40" s="25">
        <v>632</v>
      </c>
      <c r="H40" s="25"/>
      <c r="J40" s="32">
        <v>350</v>
      </c>
      <c r="K40" s="32"/>
      <c r="M40" s="25">
        <v>582</v>
      </c>
      <c r="N40" s="25"/>
      <c r="O40" s="25"/>
      <c r="U40" s="11"/>
      <c r="V40" s="11"/>
      <c r="W40" s="11"/>
      <c r="X40" s="11"/>
      <c r="Y40" s="21"/>
      <c r="Z40" s="11"/>
      <c r="AA40" s="11"/>
    </row>
    <row r="41" spans="1:30" x14ac:dyDescent="0.25">
      <c r="B41" t="s">
        <v>34</v>
      </c>
      <c r="D41" s="32">
        <v>100</v>
      </c>
      <c r="E41" s="32"/>
      <c r="G41" s="25">
        <v>97</v>
      </c>
      <c r="H41" s="25"/>
      <c r="J41" s="32">
        <v>60</v>
      </c>
      <c r="K41" s="32"/>
      <c r="M41" s="25">
        <v>57</v>
      </c>
      <c r="N41" s="25"/>
      <c r="O41" s="25"/>
      <c r="U41" s="11"/>
      <c r="V41" s="11"/>
      <c r="W41" s="11"/>
      <c r="X41" s="11"/>
      <c r="Y41" s="21"/>
      <c r="Z41" s="11"/>
      <c r="AA41" s="11"/>
    </row>
    <row r="42" spans="1:30" x14ac:dyDescent="0.25">
      <c r="B42" t="s">
        <v>36</v>
      </c>
      <c r="D42" s="33">
        <v>100</v>
      </c>
      <c r="E42" s="32"/>
      <c r="G42" s="28">
        <v>203</v>
      </c>
      <c r="H42" s="25"/>
      <c r="J42" s="33">
        <v>100</v>
      </c>
      <c r="K42" s="32"/>
      <c r="M42" s="28">
        <v>99</v>
      </c>
      <c r="N42" s="25"/>
      <c r="O42" s="25"/>
      <c r="U42" s="11"/>
      <c r="V42" s="11"/>
      <c r="W42" s="11"/>
      <c r="X42" s="11"/>
      <c r="Y42" s="21"/>
      <c r="Z42" s="11"/>
      <c r="AA42" s="11"/>
    </row>
    <row r="43" spans="1:30" x14ac:dyDescent="0.25">
      <c r="D43" s="32"/>
      <c r="E43" s="32">
        <f>SUM(D35:D42)</f>
        <v>10675</v>
      </c>
      <c r="G43" s="25"/>
      <c r="H43" s="25">
        <f>SUM(G35:G42)</f>
        <v>11376</v>
      </c>
      <c r="J43" s="32"/>
      <c r="K43" s="32">
        <f>SUM(J35:J42)</f>
        <v>9705</v>
      </c>
      <c r="M43" s="25"/>
      <c r="N43" s="25">
        <f>SUM(M35:M42)</f>
        <v>13569</v>
      </c>
      <c r="O43" s="25"/>
      <c r="U43" s="11"/>
      <c r="V43" s="11"/>
      <c r="W43" s="11"/>
      <c r="X43" s="11"/>
      <c r="Y43" s="21"/>
      <c r="Z43" s="11"/>
      <c r="AA43" s="11"/>
    </row>
    <row r="44" spans="1:30" ht="15.75" x14ac:dyDescent="0.25">
      <c r="A44" s="9" t="s">
        <v>55</v>
      </c>
      <c r="D44" s="32"/>
      <c r="E44" s="32"/>
      <c r="G44" s="25"/>
      <c r="H44" s="25"/>
      <c r="J44" s="32"/>
      <c r="K44" s="32"/>
      <c r="M44" s="25"/>
      <c r="N44" s="25"/>
      <c r="O44" s="25"/>
      <c r="U44" s="11"/>
      <c r="V44" s="11"/>
      <c r="W44" s="11"/>
      <c r="X44" s="11"/>
      <c r="Y44" s="21"/>
      <c r="Z44" s="11"/>
      <c r="AA44" s="11"/>
    </row>
    <row r="45" spans="1:30" x14ac:dyDescent="0.25">
      <c r="B45" t="s">
        <v>56</v>
      </c>
      <c r="D45" s="32">
        <v>500</v>
      </c>
      <c r="E45" s="32"/>
      <c r="G45" s="25">
        <v>103</v>
      </c>
      <c r="H45" s="25"/>
      <c r="J45" s="32">
        <v>150</v>
      </c>
      <c r="K45" s="32"/>
      <c r="M45" s="25">
        <v>69</v>
      </c>
      <c r="N45" s="25"/>
      <c r="O45" s="25"/>
      <c r="T45" s="11"/>
      <c r="U45" s="11"/>
      <c r="V45" s="11"/>
      <c r="W45" s="11"/>
      <c r="X45" s="21"/>
      <c r="Y45" s="11"/>
      <c r="Z45" s="11"/>
    </row>
    <row r="46" spans="1:30" x14ac:dyDescent="0.25">
      <c r="B46" t="s">
        <v>169</v>
      </c>
      <c r="D46" s="32">
        <v>0</v>
      </c>
      <c r="E46" s="32"/>
      <c r="G46" s="25">
        <v>0</v>
      </c>
      <c r="H46" s="25"/>
      <c r="J46" s="32">
        <v>0</v>
      </c>
      <c r="K46" s="32"/>
      <c r="M46" s="25">
        <v>0</v>
      </c>
      <c r="N46" s="25"/>
      <c r="O46" s="25"/>
      <c r="T46" s="11"/>
      <c r="U46" s="11"/>
      <c r="V46" s="11"/>
      <c r="W46" s="11"/>
      <c r="X46" s="21"/>
      <c r="Y46" s="11"/>
      <c r="Z46" s="11"/>
    </row>
    <row r="47" spans="1:30" x14ac:dyDescent="0.25">
      <c r="B47" t="s">
        <v>121</v>
      </c>
      <c r="D47" s="32">
        <v>700</v>
      </c>
      <c r="E47" s="32"/>
      <c r="G47" s="25">
        <v>613</v>
      </c>
      <c r="H47" s="25"/>
      <c r="J47" s="32">
        <v>650</v>
      </c>
      <c r="K47" s="32"/>
      <c r="M47" s="25">
        <v>852</v>
      </c>
      <c r="N47" s="25"/>
      <c r="O47" s="25"/>
      <c r="T47" s="11"/>
      <c r="U47" s="11"/>
      <c r="V47" s="11"/>
      <c r="W47" s="11"/>
      <c r="X47" s="21"/>
      <c r="Y47" s="11"/>
      <c r="Z47" s="11"/>
    </row>
    <row r="48" spans="1:30" x14ac:dyDescent="0.25">
      <c r="B48" t="s">
        <v>59</v>
      </c>
      <c r="D48" s="33">
        <v>685</v>
      </c>
      <c r="E48" s="32"/>
      <c r="G48" s="28">
        <v>661</v>
      </c>
      <c r="H48" s="25"/>
      <c r="J48" s="33">
        <v>530</v>
      </c>
      <c r="K48" s="32"/>
      <c r="M48" s="28">
        <v>508</v>
      </c>
      <c r="N48" s="25"/>
      <c r="O48" s="25"/>
      <c r="T48" s="11"/>
      <c r="U48" s="11"/>
      <c r="V48" s="11"/>
      <c r="W48" s="11"/>
      <c r="X48" s="21"/>
      <c r="Y48" s="11"/>
      <c r="Z48" s="11"/>
    </row>
    <row r="49" spans="1:26" x14ac:dyDescent="0.25">
      <c r="D49" s="32"/>
      <c r="E49" s="33">
        <f>SUM(D45:D48)</f>
        <v>1885</v>
      </c>
      <c r="G49" s="25"/>
      <c r="H49" s="28">
        <f>SUM(G45:G48)</f>
        <v>1377</v>
      </c>
      <c r="J49" s="32"/>
      <c r="K49" s="33">
        <f>SUM(J45:J48)</f>
        <v>1330</v>
      </c>
      <c r="M49" s="25"/>
      <c r="N49" s="28">
        <f>SUM(M45:M48)</f>
        <v>1429</v>
      </c>
      <c r="O49" s="25"/>
      <c r="T49" s="11"/>
      <c r="U49" s="11"/>
      <c r="V49" s="11"/>
      <c r="W49" s="11"/>
      <c r="X49" s="21"/>
      <c r="Y49" s="11"/>
      <c r="Z49" s="11"/>
    </row>
    <row r="50" spans="1:26" ht="15.75" x14ac:dyDescent="0.25">
      <c r="A50" s="9" t="s">
        <v>60</v>
      </c>
      <c r="D50" s="32"/>
      <c r="E50" s="34">
        <f>SUM(E24:E49)</f>
        <v>18875</v>
      </c>
      <c r="G50" s="25"/>
      <c r="H50" s="35">
        <f>SUM(H24:H49)</f>
        <v>20727</v>
      </c>
      <c r="J50" s="32"/>
      <c r="K50" s="34">
        <f>SUM(K24:K49)</f>
        <v>19050</v>
      </c>
      <c r="M50" s="25"/>
      <c r="N50" s="35">
        <f>SUM(N24:N49)</f>
        <v>21323</v>
      </c>
      <c r="O50" s="25"/>
    </row>
    <row r="51" spans="1:26" x14ac:dyDescent="0.25">
      <c r="D51" s="32"/>
      <c r="E51" s="32"/>
      <c r="G51" s="25"/>
      <c r="H51" s="25"/>
      <c r="J51" s="32"/>
      <c r="K51" s="32"/>
      <c r="M51" s="25"/>
      <c r="N51" s="25"/>
      <c r="O51" s="25"/>
    </row>
    <row r="52" spans="1:26" ht="15.75" thickBot="1" x14ac:dyDescent="0.3">
      <c r="A52" t="s">
        <v>61</v>
      </c>
      <c r="D52" s="32"/>
      <c r="E52" s="36">
        <f>E22-E50</f>
        <v>350</v>
      </c>
      <c r="G52" s="25"/>
      <c r="H52" s="37">
        <f>H22-H50</f>
        <v>-619</v>
      </c>
      <c r="J52" s="32"/>
      <c r="K52" s="36">
        <f>K22-K50</f>
        <v>0</v>
      </c>
      <c r="M52" s="25"/>
      <c r="N52" s="37">
        <f>N22-N50</f>
        <v>-2757</v>
      </c>
      <c r="O52" s="25"/>
    </row>
    <row r="53" spans="1:26" ht="15.75" thickTop="1" x14ac:dyDescent="0.25"/>
    <row r="54" spans="1:26" x14ac:dyDescent="0.25">
      <c r="A54" s="44" t="s">
        <v>163</v>
      </c>
      <c r="B54" s="44"/>
      <c r="C54" s="44"/>
      <c r="D54" s="44"/>
      <c r="E54" s="53"/>
      <c r="F54" s="44" t="s">
        <v>163</v>
      </c>
      <c r="G54" s="45"/>
      <c r="H54" s="45"/>
      <c r="J54" s="44"/>
      <c r="K54" s="53"/>
      <c r="L54" s="44" t="s">
        <v>163</v>
      </c>
      <c r="M54" s="45"/>
      <c r="N54" s="45"/>
    </row>
    <row r="55" spans="1:26" x14ac:dyDescent="0.25">
      <c r="A55" s="45"/>
      <c r="B55" s="45"/>
      <c r="C55" s="45"/>
      <c r="D55" s="46"/>
      <c r="F55" s="45" t="s">
        <v>248</v>
      </c>
      <c r="G55" s="45"/>
      <c r="H55" s="46">
        <v>2295</v>
      </c>
      <c r="J55" s="46" t="s">
        <v>65</v>
      </c>
      <c r="L55" s="45" t="s">
        <v>224</v>
      </c>
      <c r="M55" s="45"/>
      <c r="N55" s="45">
        <v>562</v>
      </c>
    </row>
    <row r="56" spans="1:26" ht="15.75" thickBot="1" x14ac:dyDescent="0.3">
      <c r="A56" s="45" t="s">
        <v>180</v>
      </c>
      <c r="B56" s="45"/>
      <c r="C56" s="45"/>
      <c r="D56" s="66">
        <v>1015</v>
      </c>
      <c r="F56" s="45" t="s">
        <v>180</v>
      </c>
      <c r="G56" s="45"/>
      <c r="H56" s="46">
        <v>0</v>
      </c>
      <c r="J56" s="46">
        <v>1015</v>
      </c>
      <c r="L56" s="45" t="s">
        <v>220</v>
      </c>
      <c r="M56" s="45"/>
      <c r="N56" s="45">
        <v>79</v>
      </c>
    </row>
    <row r="57" spans="1:26" ht="15.75" thickTop="1" x14ac:dyDescent="0.25">
      <c r="A57" s="45"/>
      <c r="B57" s="45"/>
      <c r="C57" s="45"/>
      <c r="D57" s="46"/>
      <c r="F57" s="45" t="s">
        <v>206</v>
      </c>
      <c r="G57" s="45"/>
      <c r="H57" s="46">
        <v>1049</v>
      </c>
      <c r="J57" s="46">
        <v>1000</v>
      </c>
      <c r="L57" s="45" t="s">
        <v>228</v>
      </c>
      <c r="M57" s="45"/>
      <c r="N57" s="45">
        <v>261</v>
      </c>
    </row>
    <row r="58" spans="1:26" ht="15.75" thickBot="1" x14ac:dyDescent="0.3">
      <c r="A58" s="45"/>
      <c r="B58" s="45"/>
      <c r="C58" s="45"/>
      <c r="D58" s="46"/>
      <c r="F58" s="45"/>
      <c r="G58" s="45"/>
      <c r="H58" s="47">
        <f>SUM(H55:H57)</f>
        <v>3344</v>
      </c>
      <c r="J58" s="47">
        <f>SUM(J55:J57)</f>
        <v>2015</v>
      </c>
      <c r="L58" s="45" t="s">
        <v>229</v>
      </c>
      <c r="M58" s="45"/>
      <c r="N58" s="45">
        <v>179</v>
      </c>
    </row>
    <row r="59" spans="1:26" ht="16.5" thickTop="1" thickBot="1" x14ac:dyDescent="0.3">
      <c r="L59" s="45"/>
      <c r="M59" s="45"/>
      <c r="N59" s="65">
        <f>SUM(N55:N58)</f>
        <v>1081</v>
      </c>
    </row>
    <row r="60" spans="1:26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66F1-B13B-4322-A42B-BA28B87D8230}">
  <dimension ref="A1:T34"/>
  <sheetViews>
    <sheetView workbookViewId="0">
      <selection sqref="A1:XFD1048576"/>
    </sheetView>
  </sheetViews>
  <sheetFormatPr defaultRowHeight="15" x14ac:dyDescent="0.25"/>
  <cols>
    <col min="1" max="1" width="2" customWidth="1"/>
    <col min="2" max="2" width="36.5703125" customWidth="1"/>
    <col min="3" max="3" width="14.5703125" customWidth="1"/>
    <col min="4" max="4" width="13" customWidth="1"/>
    <col min="5" max="5" width="2" customWidth="1"/>
    <col min="6" max="6" width="14.5703125" customWidth="1"/>
    <col min="7" max="7" width="13" customWidth="1"/>
    <col min="8" max="8" width="2.140625" customWidth="1"/>
  </cols>
  <sheetData>
    <row r="1" spans="1:20" ht="21" x14ac:dyDescent="0.35">
      <c r="A1" s="7" t="s">
        <v>0</v>
      </c>
      <c r="B1" s="7"/>
      <c r="C1" s="7"/>
      <c r="D1" s="7"/>
      <c r="E1" s="7"/>
      <c r="F1" s="7"/>
      <c r="G1" s="7"/>
      <c r="H1" s="7"/>
    </row>
    <row r="3" spans="1:20" ht="21" x14ac:dyDescent="0.35">
      <c r="A3" s="8" t="s">
        <v>1</v>
      </c>
    </row>
    <row r="4" spans="1:20" x14ac:dyDescent="0.25">
      <c r="D4" s="49">
        <v>45291</v>
      </c>
      <c r="G4" s="49">
        <v>44926</v>
      </c>
      <c r="N4" s="4"/>
      <c r="O4" s="4"/>
      <c r="P4" s="4"/>
      <c r="Q4" s="4"/>
      <c r="R4" s="23"/>
      <c r="S4" s="4"/>
      <c r="T4" s="4"/>
    </row>
    <row r="5" spans="1:20" ht="18.75" x14ac:dyDescent="0.3">
      <c r="B5" s="3" t="s">
        <v>2</v>
      </c>
      <c r="D5" s="4" t="s">
        <v>9</v>
      </c>
      <c r="E5" s="3"/>
      <c r="G5" s="4" t="s">
        <v>9</v>
      </c>
      <c r="H5" s="3"/>
      <c r="N5" s="11"/>
      <c r="O5" s="11"/>
      <c r="P5" s="11"/>
      <c r="Q5" s="11"/>
      <c r="R5" s="21"/>
      <c r="S5" s="11"/>
      <c r="T5" s="11"/>
    </row>
    <row r="6" spans="1:20" x14ac:dyDescent="0.25">
      <c r="A6" s="2" t="s">
        <v>12</v>
      </c>
      <c r="C6" s="25"/>
      <c r="D6" s="25"/>
      <c r="F6" s="25"/>
      <c r="G6" s="25"/>
      <c r="N6" s="11"/>
      <c r="O6" s="11"/>
      <c r="P6" s="11"/>
      <c r="Q6" s="11"/>
      <c r="R6" s="21"/>
      <c r="S6" s="11"/>
      <c r="T6" s="11"/>
    </row>
    <row r="7" spans="1:20" x14ac:dyDescent="0.25">
      <c r="B7" t="s">
        <v>13</v>
      </c>
      <c r="C7" s="25"/>
      <c r="D7" s="26" t="s">
        <v>11</v>
      </c>
      <c r="F7" s="25"/>
      <c r="G7" s="26" t="s">
        <v>11</v>
      </c>
      <c r="K7" s="6"/>
      <c r="N7" s="60"/>
      <c r="O7" s="11"/>
      <c r="P7" s="11"/>
      <c r="Q7" s="11"/>
      <c r="R7" s="21"/>
      <c r="S7" s="11"/>
      <c r="T7" s="11"/>
    </row>
    <row r="8" spans="1:20" x14ac:dyDescent="0.25">
      <c r="C8" s="25"/>
      <c r="D8" s="25"/>
      <c r="F8" s="25"/>
      <c r="G8" s="25"/>
      <c r="K8" s="6"/>
      <c r="N8" s="60"/>
      <c r="O8" s="11"/>
      <c r="P8" s="11"/>
      <c r="Q8" s="11"/>
      <c r="R8" s="21"/>
      <c r="S8" s="11"/>
      <c r="T8" s="11"/>
    </row>
    <row r="9" spans="1:20" x14ac:dyDescent="0.25">
      <c r="A9" s="2" t="s">
        <v>3</v>
      </c>
      <c r="C9" s="25"/>
      <c r="D9" s="25"/>
      <c r="F9" s="25"/>
      <c r="G9" s="25"/>
      <c r="K9" s="6"/>
      <c r="N9" s="60"/>
      <c r="O9" s="11"/>
      <c r="P9" s="11"/>
      <c r="Q9" s="11"/>
      <c r="R9" s="21"/>
      <c r="S9" s="11"/>
      <c r="T9" s="11"/>
    </row>
    <row r="10" spans="1:20" x14ac:dyDescent="0.25">
      <c r="B10" t="s">
        <v>21</v>
      </c>
      <c r="C10" s="25"/>
      <c r="D10" s="25"/>
      <c r="F10" s="25"/>
      <c r="G10" s="25"/>
      <c r="N10" s="60"/>
      <c r="O10" s="11"/>
      <c r="P10" s="11"/>
      <c r="Q10" s="11"/>
      <c r="R10" s="21"/>
      <c r="S10" s="11"/>
      <c r="T10" s="11"/>
    </row>
    <row r="11" spans="1:20" x14ac:dyDescent="0.25">
      <c r="B11" t="s">
        <v>19</v>
      </c>
      <c r="C11" s="25">
        <v>34</v>
      </c>
      <c r="D11" s="25"/>
      <c r="F11" s="25">
        <v>73</v>
      </c>
      <c r="G11" s="25"/>
      <c r="K11" s="6"/>
      <c r="N11" s="60"/>
      <c r="O11" s="11"/>
      <c r="P11" s="11"/>
      <c r="Q11" s="11"/>
      <c r="R11" s="21"/>
      <c r="S11" s="11"/>
      <c r="T11" s="11"/>
    </row>
    <row r="12" spans="1:20" x14ac:dyDescent="0.25">
      <c r="B12" t="s">
        <v>247</v>
      </c>
      <c r="C12" s="25">
        <v>400</v>
      </c>
      <c r="D12" s="25"/>
      <c r="F12" s="25">
        <v>0</v>
      </c>
      <c r="G12" s="25"/>
      <c r="K12" s="2"/>
      <c r="N12" s="60"/>
      <c r="O12" s="11"/>
      <c r="P12" s="11"/>
      <c r="Q12" s="11"/>
      <c r="R12" s="21"/>
      <c r="S12" s="11"/>
      <c r="T12" s="11"/>
    </row>
    <row r="13" spans="1:20" x14ac:dyDescent="0.25">
      <c r="B13" s="6" t="s">
        <v>20</v>
      </c>
      <c r="C13">
        <v>225</v>
      </c>
      <c r="F13">
        <v>395</v>
      </c>
      <c r="N13" s="60"/>
      <c r="O13" s="11"/>
      <c r="P13" s="11"/>
      <c r="Q13" s="11"/>
      <c r="R13" s="21"/>
      <c r="S13" s="11"/>
      <c r="T13" s="11"/>
    </row>
    <row r="14" spans="1:20" x14ac:dyDescent="0.25">
      <c r="B14" s="6" t="s">
        <v>178</v>
      </c>
      <c r="C14">
        <v>83</v>
      </c>
      <c r="F14">
        <v>100</v>
      </c>
      <c r="N14" s="60"/>
      <c r="O14" s="11"/>
      <c r="P14" s="11"/>
      <c r="Q14" s="11"/>
      <c r="R14" s="21"/>
      <c r="S14" s="11"/>
      <c r="T14" s="11"/>
    </row>
    <row r="15" spans="1:20" x14ac:dyDescent="0.25">
      <c r="B15" t="s">
        <v>155</v>
      </c>
      <c r="C15" s="28">
        <v>477</v>
      </c>
      <c r="F15" s="28">
        <v>1000</v>
      </c>
      <c r="N15" s="60"/>
      <c r="O15" s="11"/>
      <c r="P15" s="11"/>
      <c r="Q15" s="11"/>
      <c r="R15" s="21"/>
      <c r="S15" s="11"/>
      <c r="T15" s="11"/>
    </row>
    <row r="16" spans="1:20" x14ac:dyDescent="0.25">
      <c r="C16" s="25"/>
      <c r="D16" s="25">
        <f>SUM(C10:C15)</f>
        <v>1219</v>
      </c>
      <c r="F16" s="25"/>
      <c r="G16" s="25">
        <f>SUM(F10:F15)</f>
        <v>1568</v>
      </c>
      <c r="N16" s="60"/>
      <c r="O16" s="11"/>
      <c r="P16" s="11"/>
      <c r="Q16" s="11"/>
      <c r="R16" s="21"/>
      <c r="S16" s="11"/>
      <c r="T16" s="11"/>
    </row>
    <row r="17" spans="1:20" x14ac:dyDescent="0.25">
      <c r="A17" s="2" t="s">
        <v>5</v>
      </c>
      <c r="B17" s="2"/>
      <c r="C17" s="29"/>
      <c r="D17" s="29"/>
      <c r="E17" s="2"/>
      <c r="F17" s="29"/>
      <c r="G17" s="29"/>
      <c r="H17" s="6"/>
      <c r="N17" s="60"/>
      <c r="O17" s="11"/>
      <c r="P17" s="11"/>
      <c r="Q17" s="11"/>
      <c r="R17" s="21"/>
      <c r="S17" s="11"/>
      <c r="T17" s="11"/>
    </row>
    <row r="18" spans="1:20" x14ac:dyDescent="0.25">
      <c r="B18" t="s">
        <v>6</v>
      </c>
      <c r="C18" s="25">
        <v>339</v>
      </c>
      <c r="D18" s="25"/>
      <c r="F18" s="25">
        <v>248</v>
      </c>
      <c r="G18" s="25"/>
      <c r="N18" s="60"/>
      <c r="O18" s="11"/>
      <c r="P18" s="11"/>
      <c r="Q18" s="11"/>
      <c r="R18" s="21"/>
      <c r="S18" s="11"/>
      <c r="T18" s="11"/>
    </row>
    <row r="19" spans="1:20" x14ac:dyDescent="0.25">
      <c r="B19" t="s">
        <v>7</v>
      </c>
      <c r="C19" s="25">
        <v>46156</v>
      </c>
      <c r="D19" s="25"/>
      <c r="F19" s="25">
        <v>46978</v>
      </c>
      <c r="G19" s="25"/>
      <c r="H19" s="2"/>
      <c r="N19" s="60"/>
      <c r="O19" s="11"/>
      <c r="P19" s="11"/>
      <c r="Q19" s="11"/>
      <c r="R19" s="21"/>
      <c r="S19" s="11"/>
      <c r="T19" s="11"/>
    </row>
    <row r="20" spans="1:20" x14ac:dyDescent="0.25">
      <c r="B20" t="s">
        <v>8</v>
      </c>
      <c r="C20" s="28">
        <v>132</v>
      </c>
      <c r="D20" s="25"/>
      <c r="F20" s="28">
        <v>166</v>
      </c>
      <c r="G20" s="25"/>
      <c r="K20" s="2"/>
      <c r="N20" s="60"/>
      <c r="O20" s="11"/>
      <c r="P20" s="11"/>
      <c r="Q20" s="11"/>
      <c r="R20" s="21"/>
      <c r="S20" s="11"/>
      <c r="T20" s="11"/>
    </row>
    <row r="21" spans="1:20" x14ac:dyDescent="0.25">
      <c r="C21" s="25"/>
      <c r="D21" s="25">
        <f>SUM(C18:C20)</f>
        <v>46627</v>
      </c>
      <c r="F21" s="25"/>
      <c r="G21" s="25">
        <f>SUM(F18:F20)</f>
        <v>47392</v>
      </c>
      <c r="N21" s="60"/>
      <c r="O21" s="11"/>
      <c r="P21" s="11"/>
      <c r="Q21" s="11"/>
      <c r="R21" s="21"/>
      <c r="S21" s="11"/>
      <c r="T21" s="11"/>
    </row>
    <row r="22" spans="1:20" ht="15.75" thickBot="1" x14ac:dyDescent="0.3">
      <c r="C22" s="25"/>
      <c r="D22" s="30">
        <f>SUM(D8:D21)</f>
        <v>47846</v>
      </c>
      <c r="F22" s="25"/>
      <c r="G22" s="30">
        <f>SUM(G8:G21)</f>
        <v>48960</v>
      </c>
      <c r="K22" s="6"/>
      <c r="N22" s="60"/>
      <c r="O22" s="11"/>
      <c r="P22" s="11"/>
      <c r="Q22" s="11"/>
      <c r="R22" s="21"/>
      <c r="S22" s="11"/>
      <c r="T22" s="11"/>
    </row>
    <row r="23" spans="1:20" ht="19.5" thickTop="1" x14ac:dyDescent="0.3">
      <c r="B23" s="3" t="s">
        <v>14</v>
      </c>
      <c r="C23" s="25"/>
      <c r="D23" s="25"/>
      <c r="E23" s="3"/>
      <c r="F23" s="25"/>
      <c r="G23" s="25"/>
      <c r="K23" s="6"/>
      <c r="N23" s="60"/>
      <c r="O23" s="11"/>
      <c r="P23" s="11"/>
      <c r="Q23" s="11"/>
      <c r="R23" s="21"/>
      <c r="S23" s="11"/>
      <c r="T23" s="11"/>
    </row>
    <row r="24" spans="1:20" x14ac:dyDescent="0.25">
      <c r="A24" s="2" t="s">
        <v>15</v>
      </c>
      <c r="C24" s="25"/>
      <c r="D24" s="25"/>
      <c r="F24" s="25"/>
      <c r="G24" s="25"/>
      <c r="K24" s="6"/>
      <c r="N24" s="60"/>
      <c r="O24" s="11"/>
      <c r="P24" s="11"/>
      <c r="Q24" s="11"/>
      <c r="R24" s="21"/>
      <c r="S24" s="11"/>
      <c r="T24" s="11"/>
    </row>
    <row r="25" spans="1:20" ht="18.75" x14ac:dyDescent="0.3">
      <c r="B25" t="s">
        <v>16</v>
      </c>
      <c r="C25" s="25"/>
      <c r="D25" s="25">
        <v>47279</v>
      </c>
      <c r="F25" s="25"/>
      <c r="G25" s="25">
        <v>50036</v>
      </c>
      <c r="H25" s="3"/>
      <c r="K25" s="6"/>
      <c r="N25" s="60"/>
      <c r="O25" s="11"/>
      <c r="P25" s="11"/>
      <c r="Q25" s="11"/>
      <c r="R25" s="21"/>
      <c r="S25" s="11"/>
      <c r="T25" s="11"/>
    </row>
    <row r="26" spans="1:20" x14ac:dyDescent="0.25">
      <c r="B26" t="s">
        <v>17</v>
      </c>
      <c r="C26" s="25"/>
      <c r="D26" s="28">
        <v>-619</v>
      </c>
      <c r="F26" s="25"/>
      <c r="G26" s="28">
        <f>-1257-1500</f>
        <v>-2757</v>
      </c>
      <c r="K26" s="6"/>
      <c r="N26" s="60"/>
      <c r="O26" s="11"/>
      <c r="P26" s="11"/>
      <c r="Q26" s="11"/>
      <c r="R26" s="21"/>
      <c r="S26" s="11"/>
      <c r="T26" s="11"/>
    </row>
    <row r="27" spans="1:20" x14ac:dyDescent="0.25">
      <c r="C27" s="25"/>
      <c r="D27" s="25">
        <f>SUM(D25:D26)</f>
        <v>46660</v>
      </c>
      <c r="F27" s="25"/>
      <c r="G27" s="25">
        <f>SUM(G25:G26)</f>
        <v>47279</v>
      </c>
      <c r="K27" s="6"/>
      <c r="N27" s="60"/>
      <c r="O27" s="11"/>
      <c r="P27" s="11"/>
      <c r="Q27" s="11"/>
      <c r="R27" s="21"/>
      <c r="S27" s="11"/>
      <c r="T27" s="11"/>
    </row>
    <row r="28" spans="1:20" x14ac:dyDescent="0.25">
      <c r="A28" s="2" t="s">
        <v>18</v>
      </c>
      <c r="B28" s="2"/>
      <c r="C28" s="29"/>
      <c r="D28" s="29"/>
      <c r="E28" s="2"/>
      <c r="F28" s="29"/>
      <c r="G28" s="29"/>
      <c r="N28" s="11"/>
      <c r="O28" s="11"/>
      <c r="P28" s="11"/>
      <c r="Q28" s="11"/>
      <c r="R28" s="21"/>
      <c r="S28" s="11"/>
      <c r="T28" s="11"/>
    </row>
    <row r="29" spans="1:20" x14ac:dyDescent="0.25">
      <c r="B29" t="s">
        <v>192</v>
      </c>
      <c r="C29" s="25">
        <v>1171</v>
      </c>
      <c r="D29" s="25"/>
      <c r="F29" s="25">
        <v>1500</v>
      </c>
      <c r="G29" s="25"/>
    </row>
    <row r="30" spans="1:20" x14ac:dyDescent="0.25">
      <c r="B30" t="s">
        <v>24</v>
      </c>
      <c r="C30" s="25">
        <v>15</v>
      </c>
      <c r="D30" s="25"/>
      <c r="F30" s="25">
        <v>81</v>
      </c>
      <c r="G30" s="25"/>
    </row>
    <row r="31" spans="1:20" x14ac:dyDescent="0.25">
      <c r="B31" t="s">
        <v>226</v>
      </c>
      <c r="C31" s="28">
        <v>0</v>
      </c>
      <c r="F31" s="28">
        <v>100</v>
      </c>
    </row>
    <row r="32" spans="1:20" x14ac:dyDescent="0.25">
      <c r="C32" s="25"/>
      <c r="D32" s="25">
        <f>SUM(C29:C31)</f>
        <v>1186</v>
      </c>
      <c r="F32" s="25"/>
      <c r="G32" s="25">
        <f>SUM(F29:F31)</f>
        <v>1681</v>
      </c>
    </row>
    <row r="33" spans="3:7" ht="15.75" thickBot="1" x14ac:dyDescent="0.3">
      <c r="C33" s="25"/>
      <c r="D33" s="30">
        <f>SUM(D27:D32)</f>
        <v>47846</v>
      </c>
      <c r="F33" s="25"/>
      <c r="G33" s="30">
        <f>SUM(G27:G32)</f>
        <v>48960</v>
      </c>
    </row>
    <row r="34" spans="3:7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A83C-1B3E-441C-8FDD-BFA997BC3475}">
  <dimension ref="B1:N101"/>
  <sheetViews>
    <sheetView topLeftCell="A63" workbookViewId="0">
      <selection activeCell="A63" sqref="A1:XFD1048576"/>
    </sheetView>
  </sheetViews>
  <sheetFormatPr defaultRowHeight="15" x14ac:dyDescent="0.25"/>
  <cols>
    <col min="1" max="1" width="2" customWidth="1"/>
    <col min="2" max="2" width="1.5703125" customWidth="1"/>
    <col min="5" max="5" width="29" customWidth="1"/>
    <col min="6" max="6" width="13.140625" customWidth="1"/>
    <col min="7" max="7" width="9.28515625" bestFit="1" customWidth="1"/>
    <col min="8" max="9" width="11.5703125" customWidth="1"/>
    <col min="10" max="10" width="4.42578125" style="21" customWidth="1"/>
    <col min="11" max="11" width="10.5703125" customWidth="1"/>
    <col min="12" max="12" width="10.5703125" bestFit="1" customWidth="1"/>
    <col min="13" max="13" width="3" style="39" customWidth="1"/>
    <col min="14" max="14" width="13.28515625" style="4" customWidth="1"/>
  </cols>
  <sheetData>
    <row r="1" spans="2:14" x14ac:dyDescent="0.25">
      <c r="F1" t="s">
        <v>62</v>
      </c>
      <c r="G1" t="s">
        <v>67</v>
      </c>
      <c r="H1" t="s">
        <v>75</v>
      </c>
      <c r="I1" t="s">
        <v>76</v>
      </c>
      <c r="L1" t="s">
        <v>63</v>
      </c>
      <c r="N1" s="4" t="s">
        <v>63</v>
      </c>
    </row>
    <row r="2" spans="2:14" x14ac:dyDescent="0.25">
      <c r="F2" s="1">
        <v>44927</v>
      </c>
      <c r="G2" s="5"/>
      <c r="H2" s="5"/>
      <c r="I2" s="5"/>
      <c r="J2" s="22"/>
      <c r="K2" s="5" t="s">
        <v>66</v>
      </c>
      <c r="L2" s="38" t="s">
        <v>232</v>
      </c>
      <c r="N2" s="62" t="s">
        <v>202</v>
      </c>
    </row>
    <row r="3" spans="2:14" x14ac:dyDescent="0.25">
      <c r="B3" s="2" t="s">
        <v>12</v>
      </c>
      <c r="M3" s="54" t="s">
        <v>68</v>
      </c>
    </row>
    <row r="4" spans="2:14" x14ac:dyDescent="0.25">
      <c r="C4" t="s">
        <v>13</v>
      </c>
      <c r="F4" s="4" t="s">
        <v>65</v>
      </c>
      <c r="G4" s="4"/>
      <c r="H4" s="4"/>
      <c r="I4" s="4"/>
      <c r="J4" s="23"/>
      <c r="K4" s="4"/>
      <c r="L4" s="4" t="s">
        <v>65</v>
      </c>
      <c r="M4" s="54" t="s">
        <v>68</v>
      </c>
      <c r="N4" s="4" t="s">
        <v>65</v>
      </c>
    </row>
    <row r="5" spans="2:14" x14ac:dyDescent="0.25">
      <c r="B5" s="2" t="s">
        <v>3</v>
      </c>
      <c r="F5" s="11"/>
      <c r="G5" s="11"/>
      <c r="H5" s="11"/>
      <c r="I5" s="11"/>
      <c r="K5" s="11"/>
      <c r="L5" s="11">
        <f t="shared" ref="L5:L12" si="0">SUM(F5+G5+H5+I5+K5)</f>
        <v>0</v>
      </c>
      <c r="M5" s="55" t="s">
        <v>68</v>
      </c>
      <c r="N5" s="60"/>
    </row>
    <row r="6" spans="2:14" x14ac:dyDescent="0.25">
      <c r="C6" t="s">
        <v>21</v>
      </c>
      <c r="F6" s="11"/>
      <c r="G6" s="11"/>
      <c r="H6" s="11"/>
      <c r="I6" s="11"/>
      <c r="K6" s="11"/>
      <c r="L6" s="11">
        <f t="shared" si="0"/>
        <v>0</v>
      </c>
      <c r="M6" s="55" t="s">
        <v>68</v>
      </c>
      <c r="N6" s="60"/>
    </row>
    <row r="7" spans="2:14" x14ac:dyDescent="0.25">
      <c r="C7" s="6" t="s">
        <v>19</v>
      </c>
      <c r="F7" s="60">
        <v>73.000000000000057</v>
      </c>
      <c r="G7" s="11"/>
      <c r="H7" s="11"/>
      <c r="I7" s="11"/>
      <c r="J7" s="21" t="s">
        <v>207</v>
      </c>
      <c r="K7" s="11">
        <v>-39</v>
      </c>
      <c r="L7" s="11">
        <f t="shared" si="0"/>
        <v>34.000000000000057</v>
      </c>
      <c r="M7" s="55" t="s">
        <v>68</v>
      </c>
      <c r="N7" s="60">
        <v>73.000000000000057</v>
      </c>
    </row>
    <row r="8" spans="2:14" x14ac:dyDescent="0.25">
      <c r="C8" s="6" t="s">
        <v>20</v>
      </c>
      <c r="E8" t="s">
        <v>237</v>
      </c>
      <c r="F8" s="60">
        <v>395</v>
      </c>
      <c r="G8" s="11"/>
      <c r="H8" s="11"/>
      <c r="I8" s="11"/>
      <c r="J8" s="21" t="s">
        <v>209</v>
      </c>
      <c r="K8" s="11">
        <v>-170</v>
      </c>
      <c r="L8" s="11">
        <f t="shared" si="0"/>
        <v>225</v>
      </c>
      <c r="M8" s="55" t="s">
        <v>68</v>
      </c>
      <c r="N8" s="60">
        <v>395</v>
      </c>
    </row>
    <row r="9" spans="2:14" x14ac:dyDescent="0.25">
      <c r="C9" s="6" t="s">
        <v>178</v>
      </c>
      <c r="E9" t="s">
        <v>238</v>
      </c>
      <c r="F9" s="60">
        <v>100</v>
      </c>
      <c r="G9" s="11"/>
      <c r="H9" s="11"/>
      <c r="I9" s="11"/>
      <c r="J9" s="21" t="s">
        <v>209</v>
      </c>
      <c r="K9" s="11">
        <v>-17.5</v>
      </c>
      <c r="L9" s="11">
        <f t="shared" si="0"/>
        <v>82.5</v>
      </c>
      <c r="M9" s="55" t="s">
        <v>68</v>
      </c>
      <c r="N9" s="60">
        <v>100</v>
      </c>
    </row>
    <row r="10" spans="2:14" x14ac:dyDescent="0.25">
      <c r="C10" t="s">
        <v>155</v>
      </c>
      <c r="E10" t="s">
        <v>241</v>
      </c>
      <c r="F10" s="60">
        <v>1000</v>
      </c>
      <c r="G10" s="11"/>
      <c r="H10" s="11"/>
      <c r="I10" s="11"/>
      <c r="J10" s="21" t="s">
        <v>209</v>
      </c>
      <c r="K10" s="11">
        <v>-522.5</v>
      </c>
      <c r="L10" s="11">
        <f t="shared" si="0"/>
        <v>477.5</v>
      </c>
      <c r="M10" s="55" t="s">
        <v>68</v>
      </c>
      <c r="N10" s="60">
        <v>1000</v>
      </c>
    </row>
    <row r="11" spans="2:14" x14ac:dyDescent="0.25">
      <c r="C11" s="6" t="s">
        <v>246</v>
      </c>
      <c r="F11" s="60"/>
      <c r="G11" s="11"/>
      <c r="H11" s="11"/>
      <c r="I11" s="11"/>
      <c r="J11" s="21" t="s">
        <v>245</v>
      </c>
      <c r="K11" s="11">
        <v>400</v>
      </c>
      <c r="L11" s="11">
        <f t="shared" si="0"/>
        <v>400</v>
      </c>
      <c r="M11" s="55" t="s">
        <v>68</v>
      </c>
      <c r="N11" s="60"/>
    </row>
    <row r="12" spans="2:14" x14ac:dyDescent="0.25">
      <c r="B12" s="2" t="s">
        <v>5</v>
      </c>
      <c r="C12" s="2"/>
      <c r="F12" s="60"/>
      <c r="G12" s="11"/>
      <c r="H12" s="11"/>
      <c r="I12" s="11"/>
      <c r="K12" s="11"/>
      <c r="L12" s="11">
        <f t="shared" si="0"/>
        <v>0</v>
      </c>
      <c r="M12" s="55" t="s">
        <v>68</v>
      </c>
      <c r="N12" s="60"/>
    </row>
    <row r="13" spans="2:14" x14ac:dyDescent="0.25">
      <c r="C13" t="s">
        <v>6</v>
      </c>
      <c r="F13" s="60">
        <v>248.15999999999997</v>
      </c>
      <c r="G13" s="11"/>
      <c r="H13" s="11">
        <f>338.64-248.16</f>
        <v>90.47999999999999</v>
      </c>
      <c r="I13" s="11"/>
      <c r="K13" s="11"/>
      <c r="L13" s="11">
        <f t="shared" ref="L13:L27" si="1">SUM(F13+G13+H13+I13+K13)</f>
        <v>338.64</v>
      </c>
      <c r="M13" s="55" t="s">
        <v>68</v>
      </c>
      <c r="N13" s="60">
        <v>248.15999999999997</v>
      </c>
    </row>
    <row r="14" spans="2:14" x14ac:dyDescent="0.25">
      <c r="C14" t="s">
        <v>7</v>
      </c>
      <c r="F14" s="60">
        <v>45004.330000000009</v>
      </c>
      <c r="G14" s="11"/>
      <c r="H14" s="11"/>
      <c r="I14" s="11">
        <f>13.67</f>
        <v>13.67</v>
      </c>
      <c r="K14" s="11"/>
      <c r="L14" s="11">
        <f t="shared" si="1"/>
        <v>45018.000000000007</v>
      </c>
      <c r="M14" s="55" t="s">
        <v>68</v>
      </c>
      <c r="N14" s="60">
        <v>45004.330000000009</v>
      </c>
    </row>
    <row r="15" spans="2:14" x14ac:dyDescent="0.25">
      <c r="C15" t="s">
        <v>77</v>
      </c>
      <c r="F15" s="60">
        <v>1974.06</v>
      </c>
      <c r="G15" s="11"/>
      <c r="H15" s="11"/>
      <c r="I15" s="11">
        <f>1138.62-1974.06</f>
        <v>-835.44</v>
      </c>
      <c r="K15" s="11"/>
      <c r="L15" s="11">
        <f t="shared" si="1"/>
        <v>1138.6199999999999</v>
      </c>
      <c r="M15" s="55" t="s">
        <v>68</v>
      </c>
      <c r="N15" s="60">
        <v>1974.06</v>
      </c>
    </row>
    <row r="16" spans="2:14" x14ac:dyDescent="0.25">
      <c r="C16" t="s">
        <v>8</v>
      </c>
      <c r="F16" s="60">
        <v>165.8</v>
      </c>
      <c r="G16" s="11">
        <f>132.4-165.8</f>
        <v>-33.400000000000006</v>
      </c>
      <c r="H16" s="11"/>
      <c r="I16" s="11"/>
      <c r="K16" s="11"/>
      <c r="L16" s="11">
        <f t="shared" si="1"/>
        <v>132.4</v>
      </c>
      <c r="M16" s="55" t="s">
        <v>68</v>
      </c>
      <c r="N16" s="60">
        <v>165.8</v>
      </c>
    </row>
    <row r="17" spans="2:14" x14ac:dyDescent="0.25">
      <c r="C17" t="s">
        <v>74</v>
      </c>
      <c r="F17" s="60">
        <v>0</v>
      </c>
      <c r="G17" s="11">
        <v>2600</v>
      </c>
      <c r="H17" s="11">
        <v>10300</v>
      </c>
      <c r="I17" s="11">
        <v>-12900</v>
      </c>
      <c r="K17" s="11"/>
      <c r="L17" s="11">
        <f t="shared" si="1"/>
        <v>0</v>
      </c>
      <c r="M17" s="55" t="s">
        <v>68</v>
      </c>
      <c r="N17" s="60">
        <v>0</v>
      </c>
    </row>
    <row r="18" spans="2:14" x14ac:dyDescent="0.25">
      <c r="B18" s="2" t="s">
        <v>15</v>
      </c>
      <c r="F18" s="60"/>
      <c r="G18" s="11"/>
      <c r="H18" s="11"/>
      <c r="I18" s="11"/>
      <c r="K18" s="11"/>
      <c r="L18" s="11">
        <f t="shared" si="1"/>
        <v>0</v>
      </c>
      <c r="M18" s="55" t="s">
        <v>68</v>
      </c>
      <c r="N18" s="60"/>
    </row>
    <row r="19" spans="2:14" x14ac:dyDescent="0.25">
      <c r="C19" t="s">
        <v>16</v>
      </c>
      <c r="F19" s="60">
        <f>-50036.37+2756.85</f>
        <v>-47279.520000000004</v>
      </c>
      <c r="G19" s="11"/>
      <c r="H19" s="11"/>
      <c r="I19" s="11"/>
      <c r="K19" s="11"/>
      <c r="L19" s="11">
        <f t="shared" si="1"/>
        <v>-47279.520000000004</v>
      </c>
      <c r="M19" s="55" t="s">
        <v>68</v>
      </c>
      <c r="N19" s="60">
        <v>-50036.37</v>
      </c>
    </row>
    <row r="20" spans="2:14" x14ac:dyDescent="0.25">
      <c r="B20" s="2" t="s">
        <v>18</v>
      </c>
      <c r="C20" s="2"/>
      <c r="F20" s="60"/>
      <c r="G20" s="11"/>
      <c r="H20" s="11"/>
      <c r="I20" s="11"/>
      <c r="K20" s="11"/>
      <c r="L20" s="11">
        <f t="shared" si="1"/>
        <v>0</v>
      </c>
      <c r="M20" s="55" t="s">
        <v>68</v>
      </c>
      <c r="N20" s="60"/>
    </row>
    <row r="21" spans="2:14" x14ac:dyDescent="0.25">
      <c r="C21" t="s">
        <v>22</v>
      </c>
      <c r="F21" s="60"/>
      <c r="G21" s="11"/>
      <c r="H21" s="11"/>
      <c r="I21" s="11"/>
      <c r="K21" s="11"/>
      <c r="L21" s="11">
        <f t="shared" si="1"/>
        <v>0</v>
      </c>
      <c r="M21" s="55" t="s">
        <v>68</v>
      </c>
      <c r="N21" s="60"/>
    </row>
    <row r="22" spans="2:14" x14ac:dyDescent="0.25">
      <c r="C22" s="6" t="s">
        <v>211</v>
      </c>
      <c r="F22" s="60">
        <v>-81</v>
      </c>
      <c r="G22" s="11"/>
      <c r="H22" s="11"/>
      <c r="I22" s="11"/>
      <c r="J22" s="21" t="s">
        <v>212</v>
      </c>
      <c r="K22" s="11">
        <v>81</v>
      </c>
      <c r="L22" s="11">
        <f t="shared" si="1"/>
        <v>0</v>
      </c>
      <c r="M22" s="55" t="s">
        <v>68</v>
      </c>
      <c r="N22" s="60">
        <v>-81</v>
      </c>
    </row>
    <row r="23" spans="2:14" x14ac:dyDescent="0.25">
      <c r="C23" s="6" t="s">
        <v>233</v>
      </c>
      <c r="F23" s="60">
        <v>0</v>
      </c>
      <c r="G23" s="11"/>
      <c r="H23" s="11"/>
      <c r="I23" s="11"/>
      <c r="J23" s="21" t="s">
        <v>217</v>
      </c>
      <c r="K23" s="11">
        <v>-15</v>
      </c>
      <c r="L23" s="11">
        <f t="shared" si="1"/>
        <v>-15</v>
      </c>
      <c r="M23" s="55" t="s">
        <v>68</v>
      </c>
      <c r="N23" s="60">
        <v>0</v>
      </c>
    </row>
    <row r="24" spans="2:14" x14ac:dyDescent="0.25">
      <c r="C24" s="6" t="s">
        <v>216</v>
      </c>
      <c r="F24" s="60">
        <v>-100</v>
      </c>
      <c r="G24" s="11"/>
      <c r="H24" s="11"/>
      <c r="I24" s="11"/>
      <c r="J24" s="21" t="s">
        <v>212</v>
      </c>
      <c r="K24" s="11">
        <v>100</v>
      </c>
      <c r="L24" s="11">
        <f t="shared" si="1"/>
        <v>0</v>
      </c>
      <c r="M24" s="55" t="s">
        <v>68</v>
      </c>
      <c r="N24" s="60">
        <v>-100</v>
      </c>
    </row>
    <row r="25" spans="2:14" x14ac:dyDescent="0.25">
      <c r="C25" s="6" t="s">
        <v>234</v>
      </c>
      <c r="F25" s="60"/>
      <c r="G25" s="11"/>
      <c r="H25" s="11"/>
      <c r="I25" s="11"/>
      <c r="K25" s="11"/>
      <c r="L25" s="11">
        <f t="shared" si="1"/>
        <v>0</v>
      </c>
      <c r="M25" s="55" t="s">
        <v>68</v>
      </c>
      <c r="N25" s="60"/>
    </row>
    <row r="26" spans="2:14" x14ac:dyDescent="0.25">
      <c r="C26" s="6" t="s">
        <v>235</v>
      </c>
      <c r="F26" s="60"/>
      <c r="G26" s="11"/>
      <c r="H26" s="11"/>
      <c r="I26" s="11">
        <v>-1171.1300000000001</v>
      </c>
      <c r="K26" s="11"/>
      <c r="L26" s="11">
        <f t="shared" si="1"/>
        <v>-1171.1300000000001</v>
      </c>
      <c r="M26" s="55" t="s">
        <v>68</v>
      </c>
      <c r="N26" s="60"/>
    </row>
    <row r="27" spans="2:14" x14ac:dyDescent="0.25">
      <c r="C27" s="6" t="s">
        <v>230</v>
      </c>
      <c r="F27" s="61">
        <v>-1499.83</v>
      </c>
      <c r="G27" s="19"/>
      <c r="H27" s="19"/>
      <c r="I27" s="19"/>
      <c r="J27" s="22" t="s">
        <v>204</v>
      </c>
      <c r="K27" s="19">
        <v>1499.83</v>
      </c>
      <c r="L27" s="11">
        <f t="shared" si="1"/>
        <v>0</v>
      </c>
      <c r="M27" s="55" t="s">
        <v>68</v>
      </c>
      <c r="N27" s="60">
        <v>-1499.83</v>
      </c>
    </row>
    <row r="28" spans="2:14" ht="15.75" thickBot="1" x14ac:dyDescent="0.3">
      <c r="E28" t="s">
        <v>108</v>
      </c>
      <c r="F28" s="11">
        <f>SUM(F5:F27)</f>
        <v>1.8189894035458565E-12</v>
      </c>
      <c r="G28" s="11">
        <f>SUM(G4:G27)</f>
        <v>2566.6</v>
      </c>
      <c r="H28" s="11">
        <f>SUM(H4:H27)</f>
        <v>10390.48</v>
      </c>
      <c r="I28" s="11">
        <f>SUM(I4:I27)</f>
        <v>-14892.900000000001</v>
      </c>
      <c r="K28" s="11">
        <f>SUM(K4:K27)</f>
        <v>1316.83</v>
      </c>
      <c r="L28" s="12">
        <f>SUM(L3:L27)</f>
        <v>-618.98999999999342</v>
      </c>
      <c r="M28" s="56"/>
      <c r="N28" s="63">
        <v>-2756.8499999999967</v>
      </c>
    </row>
    <row r="29" spans="2:14" ht="15.75" thickTop="1" x14ac:dyDescent="0.25">
      <c r="F29" s="11"/>
      <c r="G29" s="11"/>
      <c r="H29" s="11"/>
      <c r="I29" s="11"/>
      <c r="K29" s="11"/>
      <c r="L29" s="11"/>
      <c r="M29" s="56"/>
      <c r="N29" s="60"/>
    </row>
    <row r="30" spans="2:14" x14ac:dyDescent="0.25">
      <c r="F30" s="11"/>
      <c r="G30" s="11"/>
      <c r="H30" s="11"/>
      <c r="I30" s="11"/>
      <c r="K30" s="11"/>
      <c r="L30" s="11"/>
      <c r="M30" s="56"/>
      <c r="N30" s="60"/>
    </row>
    <row r="31" spans="2:14" x14ac:dyDescent="0.25">
      <c r="F31" s="11"/>
      <c r="G31" s="11"/>
      <c r="H31" s="11"/>
      <c r="I31" s="11"/>
      <c r="K31" s="11"/>
      <c r="L31" s="11"/>
      <c r="M31" s="56"/>
      <c r="N31" s="60"/>
    </row>
    <row r="32" spans="2:14" x14ac:dyDescent="0.25">
      <c r="F32" s="11"/>
      <c r="G32" s="11"/>
      <c r="H32" s="11"/>
      <c r="I32" s="11"/>
      <c r="K32" s="11"/>
      <c r="L32" s="11"/>
      <c r="M32" s="56"/>
      <c r="N32" s="60"/>
    </row>
    <row r="33" spans="2:14" x14ac:dyDescent="0.25">
      <c r="F33" s="11"/>
      <c r="G33" s="11"/>
      <c r="H33" s="11"/>
      <c r="I33" s="11"/>
      <c r="K33" s="11"/>
      <c r="L33" s="11"/>
      <c r="M33" s="56"/>
      <c r="N33" s="60"/>
    </row>
    <row r="34" spans="2:14" x14ac:dyDescent="0.25">
      <c r="F34" s="11"/>
      <c r="G34" s="11"/>
      <c r="H34" s="11"/>
      <c r="I34" s="11"/>
      <c r="K34" s="11"/>
      <c r="L34" s="11"/>
      <c r="M34" s="56"/>
      <c r="N34" s="60"/>
    </row>
    <row r="35" spans="2:14" x14ac:dyDescent="0.25">
      <c r="F35" s="11"/>
      <c r="G35" s="11"/>
      <c r="H35" s="11"/>
      <c r="I35" s="11"/>
      <c r="K35" s="11"/>
      <c r="L35" s="11"/>
      <c r="M35" s="56"/>
      <c r="N35" s="60"/>
    </row>
    <row r="36" spans="2:14" x14ac:dyDescent="0.25">
      <c r="F36" t="s">
        <v>62</v>
      </c>
      <c r="G36" t="s">
        <v>67</v>
      </c>
      <c r="H36" t="s">
        <v>75</v>
      </c>
      <c r="I36" t="s">
        <v>76</v>
      </c>
      <c r="L36" t="s">
        <v>63</v>
      </c>
      <c r="N36" s="4" t="s">
        <v>63</v>
      </c>
    </row>
    <row r="37" spans="2:14" x14ac:dyDescent="0.25">
      <c r="F37" s="1">
        <v>44927</v>
      </c>
      <c r="G37" s="5"/>
      <c r="H37" s="5"/>
      <c r="I37" s="5"/>
      <c r="J37" s="22"/>
      <c r="K37" s="5" t="s">
        <v>66</v>
      </c>
      <c r="L37" s="38" t="s">
        <v>232</v>
      </c>
      <c r="N37" s="62" t="s">
        <v>202</v>
      </c>
    </row>
    <row r="38" spans="2:14" x14ac:dyDescent="0.25">
      <c r="E38" t="s">
        <v>107</v>
      </c>
      <c r="F38" s="11">
        <f t="shared" ref="F38:K38" si="2">SUM(F28)</f>
        <v>1.8189894035458565E-12</v>
      </c>
      <c r="G38" s="11">
        <f t="shared" si="2"/>
        <v>2566.6</v>
      </c>
      <c r="H38" s="11">
        <f t="shared" si="2"/>
        <v>10390.48</v>
      </c>
      <c r="I38" s="11">
        <f t="shared" si="2"/>
        <v>-14892.900000000001</v>
      </c>
      <c r="J38" s="11">
        <f t="shared" si="2"/>
        <v>0</v>
      </c>
      <c r="K38" s="11">
        <f t="shared" si="2"/>
        <v>1316.83</v>
      </c>
      <c r="L38" s="11">
        <f>SUM(L28)</f>
        <v>-618.98999999999342</v>
      </c>
      <c r="M38" s="55" t="s">
        <v>68</v>
      </c>
      <c r="N38" s="60">
        <v>-2756.8499999999967</v>
      </c>
    </row>
    <row r="39" spans="2:14" ht="15.75" x14ac:dyDescent="0.25">
      <c r="B39" s="9" t="s">
        <v>27</v>
      </c>
      <c r="F39" s="11"/>
      <c r="G39" s="11"/>
      <c r="H39" s="11"/>
      <c r="I39" s="11"/>
      <c r="K39" s="11"/>
      <c r="L39" s="11"/>
      <c r="M39" s="55" t="s">
        <v>68</v>
      </c>
      <c r="N39" s="60"/>
    </row>
    <row r="40" spans="2:14" x14ac:dyDescent="0.25">
      <c r="B40" t="s">
        <v>28</v>
      </c>
      <c r="F40" s="11"/>
      <c r="G40" s="11">
        <v>-352</v>
      </c>
      <c r="H40" s="11">
        <v>-10504</v>
      </c>
      <c r="I40" s="11">
        <v>-257</v>
      </c>
      <c r="J40" s="21" t="s">
        <v>239</v>
      </c>
      <c r="K40" s="11">
        <f>-81+15</f>
        <v>-66</v>
      </c>
      <c r="L40" s="11">
        <f t="shared" ref="L40:L52" si="3">SUM(F40+G40+H40+I40+K40)</f>
        <v>-11179</v>
      </c>
      <c r="M40" s="55" t="s">
        <v>68</v>
      </c>
      <c r="N40" s="60">
        <v>-11526.5</v>
      </c>
    </row>
    <row r="41" spans="2:14" x14ac:dyDescent="0.25">
      <c r="B41" t="s">
        <v>29</v>
      </c>
      <c r="C41" t="s">
        <v>69</v>
      </c>
      <c r="F41" s="11"/>
      <c r="G41" s="11">
        <f>-468.7-15</f>
        <v>-483.7</v>
      </c>
      <c r="H41" s="11">
        <v>-8</v>
      </c>
      <c r="I41" s="11">
        <v>-226.09</v>
      </c>
      <c r="K41" s="11"/>
      <c r="L41" s="11">
        <f t="shared" si="3"/>
        <v>-717.79</v>
      </c>
      <c r="M41" s="55" t="s">
        <v>68</v>
      </c>
      <c r="N41" s="60">
        <v>-1141.3499999999999</v>
      </c>
    </row>
    <row r="42" spans="2:14" x14ac:dyDescent="0.25">
      <c r="B42" t="s">
        <v>30</v>
      </c>
      <c r="F42" s="11"/>
      <c r="G42" s="11"/>
      <c r="H42" s="11"/>
      <c r="I42" s="11">
        <v>-1500</v>
      </c>
      <c r="K42" s="11"/>
      <c r="L42" s="11">
        <f t="shared" si="3"/>
        <v>-1500</v>
      </c>
      <c r="M42" s="55" t="s">
        <v>68</v>
      </c>
      <c r="N42" s="60">
        <v>-1500</v>
      </c>
    </row>
    <row r="43" spans="2:14" x14ac:dyDescent="0.25">
      <c r="C43" s="6" t="s">
        <v>191</v>
      </c>
      <c r="F43" s="11"/>
      <c r="G43" s="11">
        <v>-1000</v>
      </c>
      <c r="H43" s="11"/>
      <c r="I43" s="11"/>
      <c r="K43" s="11"/>
      <c r="L43" s="11">
        <f>SUM(F43+G43+H43+I43+K43)</f>
        <v>-1000</v>
      </c>
      <c r="M43" s="55" t="s">
        <v>68</v>
      </c>
      <c r="N43" s="60">
        <v>0</v>
      </c>
    </row>
    <row r="44" spans="2:14" x14ac:dyDescent="0.25">
      <c r="B44" t="s">
        <v>31</v>
      </c>
      <c r="F44" s="11"/>
      <c r="G44" s="11"/>
      <c r="H44" s="11"/>
      <c r="I44" s="11"/>
      <c r="J44" s="21" t="s">
        <v>212</v>
      </c>
      <c r="K44" s="11">
        <v>-100</v>
      </c>
      <c r="L44" s="11">
        <f t="shared" si="3"/>
        <v>-100</v>
      </c>
      <c r="M44" s="55" t="s">
        <v>68</v>
      </c>
      <c r="N44" s="60">
        <v>-250</v>
      </c>
    </row>
    <row r="45" spans="2:14" x14ac:dyDescent="0.25">
      <c r="B45" t="s">
        <v>119</v>
      </c>
      <c r="F45" s="11"/>
      <c r="G45" s="11">
        <f>-201.8-1.1</f>
        <v>-202.9</v>
      </c>
      <c r="H45" s="11">
        <v>-199</v>
      </c>
      <c r="I45" s="11">
        <f>-1158.18+757.6</f>
        <v>-400.58000000000004</v>
      </c>
      <c r="K45" s="11"/>
      <c r="L45" s="11">
        <f t="shared" si="3"/>
        <v>-802.48</v>
      </c>
      <c r="M45" s="55" t="s">
        <v>68</v>
      </c>
      <c r="N45" s="60">
        <f>-281.63-244-50</f>
        <v>-575.63</v>
      </c>
    </row>
    <row r="46" spans="2:14" x14ac:dyDescent="0.25">
      <c r="B46" t="s">
        <v>84</v>
      </c>
      <c r="F46" s="11"/>
      <c r="G46" s="11"/>
      <c r="H46" s="11">
        <v>-25</v>
      </c>
      <c r="I46" s="11"/>
      <c r="K46" s="11"/>
      <c r="L46" s="11">
        <f t="shared" si="3"/>
        <v>-25</v>
      </c>
      <c r="M46" s="55" t="s">
        <v>68</v>
      </c>
      <c r="N46" s="60">
        <v>-240</v>
      </c>
    </row>
    <row r="47" spans="2:14" x14ac:dyDescent="0.25">
      <c r="B47" t="s">
        <v>188</v>
      </c>
      <c r="F47" s="11"/>
      <c r="G47" s="11"/>
      <c r="H47" s="11"/>
      <c r="I47" s="11"/>
      <c r="J47" s="21" t="s">
        <v>204</v>
      </c>
      <c r="K47" s="11">
        <v>-1499.83</v>
      </c>
      <c r="L47" s="11">
        <f t="shared" si="3"/>
        <v>-1499.83</v>
      </c>
      <c r="M47" s="55" t="s">
        <v>68</v>
      </c>
      <c r="N47" s="60">
        <v>-1014.5799999999999</v>
      </c>
    </row>
    <row r="48" spans="2:14" x14ac:dyDescent="0.25">
      <c r="B48" t="s">
        <v>85</v>
      </c>
      <c r="F48" s="11"/>
      <c r="G48" s="11">
        <f>-422.5-30</f>
        <v>-452.5</v>
      </c>
      <c r="H48" s="11">
        <v>-37.5</v>
      </c>
      <c r="I48" s="11">
        <v>-197.5</v>
      </c>
      <c r="K48" s="11"/>
      <c r="L48" s="11">
        <f t="shared" si="3"/>
        <v>-687.5</v>
      </c>
      <c r="M48" s="55" t="s">
        <v>68</v>
      </c>
      <c r="N48" s="60">
        <f>-187.5-1</f>
        <v>-188.5</v>
      </c>
    </row>
    <row r="49" spans="2:14" x14ac:dyDescent="0.25">
      <c r="B49" t="s">
        <v>186</v>
      </c>
      <c r="F49" s="11"/>
      <c r="G49" s="11">
        <v>-62.5</v>
      </c>
      <c r="H49" s="11"/>
      <c r="I49" s="11">
        <v>-50</v>
      </c>
      <c r="K49" s="11"/>
      <c r="L49" s="11">
        <f t="shared" si="3"/>
        <v>-112.5</v>
      </c>
      <c r="M49" s="55" t="s">
        <v>68</v>
      </c>
      <c r="N49" s="60">
        <v>-550</v>
      </c>
    </row>
    <row r="50" spans="2:14" x14ac:dyDescent="0.25">
      <c r="B50" t="s">
        <v>34</v>
      </c>
      <c r="E50" t="s">
        <v>236</v>
      </c>
      <c r="F50" s="11"/>
      <c r="G50" s="11">
        <v>-13</v>
      </c>
      <c r="H50" s="11"/>
      <c r="I50" s="11">
        <v>-757.6</v>
      </c>
      <c r="K50" s="11"/>
      <c r="L50" s="11">
        <f>SUM(F50+G50+H50+I50+K50)</f>
        <v>-770.6</v>
      </c>
      <c r="M50" s="55" t="s">
        <v>68</v>
      </c>
      <c r="N50" s="60">
        <v>-674.9</v>
      </c>
    </row>
    <row r="51" spans="2:14" x14ac:dyDescent="0.25">
      <c r="B51" t="s">
        <v>35</v>
      </c>
      <c r="F51" s="11"/>
      <c r="G51" s="11"/>
      <c r="H51" s="11"/>
      <c r="I51" s="11">
        <v>-1700</v>
      </c>
      <c r="K51" s="11"/>
      <c r="L51" s="11">
        <f t="shared" si="3"/>
        <v>-1700</v>
      </c>
      <c r="M51" s="55" t="s">
        <v>68</v>
      </c>
      <c r="N51" s="60">
        <v>-400</v>
      </c>
    </row>
    <row r="52" spans="2:14" x14ac:dyDescent="0.25">
      <c r="B52" t="s">
        <v>36</v>
      </c>
      <c r="F52" s="11"/>
      <c r="G52" s="11"/>
      <c r="H52" s="11"/>
      <c r="I52" s="11"/>
      <c r="K52" s="11"/>
      <c r="L52" s="11">
        <f t="shared" si="3"/>
        <v>0</v>
      </c>
      <c r="M52" s="55" t="s">
        <v>68</v>
      </c>
      <c r="N52" s="60">
        <v>-500</v>
      </c>
    </row>
    <row r="53" spans="2:14" x14ac:dyDescent="0.25">
      <c r="B53" t="s">
        <v>38</v>
      </c>
      <c r="F53" s="19"/>
      <c r="G53" s="19"/>
      <c r="H53" s="19"/>
      <c r="I53" s="19">
        <v>-13.67</v>
      </c>
      <c r="J53" s="22"/>
      <c r="K53" s="19"/>
      <c r="L53" s="19">
        <f>SUM(F53+G53+H53+I53+K53)</f>
        <v>-13.67</v>
      </c>
      <c r="M53" s="55" t="s">
        <v>68</v>
      </c>
      <c r="N53" s="60">
        <v>-4.33</v>
      </c>
    </row>
    <row r="54" spans="2:14" x14ac:dyDescent="0.25">
      <c r="E54" t="s">
        <v>106</v>
      </c>
      <c r="F54" s="11">
        <f>SUM(F38:F53)</f>
        <v>1.8189894035458565E-12</v>
      </c>
      <c r="G54" s="11">
        <f>SUM(G38:G53)</f>
        <v>-1.1368683772161603E-13</v>
      </c>
      <c r="H54" s="11">
        <f>SUM(H38:H53)</f>
        <v>-383.02000000000044</v>
      </c>
      <c r="I54" s="11">
        <f>SUM(I38:I53)</f>
        <v>-19995.34</v>
      </c>
      <c r="K54" s="11">
        <f>SUM(K38:K53)</f>
        <v>-349</v>
      </c>
      <c r="L54" s="11">
        <f>SUM(L38:L53)</f>
        <v>-20727.359999999993</v>
      </c>
      <c r="M54" s="56"/>
      <c r="N54" s="60">
        <v>-21322.639999999999</v>
      </c>
    </row>
    <row r="55" spans="2:14" x14ac:dyDescent="0.25">
      <c r="F55" s="11"/>
      <c r="G55" s="11"/>
      <c r="H55" s="11"/>
      <c r="I55" s="11"/>
      <c r="K55" s="11"/>
      <c r="L55" s="11"/>
      <c r="M55" s="56"/>
      <c r="N55" s="60"/>
    </row>
    <row r="56" spans="2:14" x14ac:dyDescent="0.25">
      <c r="F56" s="11"/>
      <c r="G56" s="11"/>
      <c r="H56" s="11"/>
      <c r="I56" s="11"/>
      <c r="K56" s="11"/>
      <c r="L56" s="11"/>
      <c r="M56" s="56"/>
      <c r="N56" s="60"/>
    </row>
    <row r="57" spans="2:14" x14ac:dyDescent="0.25">
      <c r="F57" s="11"/>
      <c r="G57" s="11"/>
      <c r="H57" s="11"/>
      <c r="I57" s="11"/>
      <c r="K57" s="11"/>
      <c r="L57" s="11"/>
      <c r="M57" s="56"/>
      <c r="N57" s="60"/>
    </row>
    <row r="58" spans="2:14" x14ac:dyDescent="0.25">
      <c r="F58" s="11"/>
      <c r="G58" s="11"/>
      <c r="H58" s="11"/>
      <c r="I58" s="11"/>
      <c r="K58" s="11"/>
      <c r="L58" s="11"/>
      <c r="M58" s="56"/>
      <c r="N58" s="60"/>
    </row>
    <row r="59" spans="2:14" x14ac:dyDescent="0.25">
      <c r="F59" s="11"/>
      <c r="G59" s="11"/>
      <c r="H59" s="11"/>
      <c r="I59" s="11"/>
      <c r="K59" s="11"/>
      <c r="L59" s="11"/>
      <c r="M59" s="56"/>
      <c r="N59" s="60"/>
    </row>
    <row r="60" spans="2:14" x14ac:dyDescent="0.25">
      <c r="F60" s="11"/>
      <c r="G60" s="11"/>
      <c r="H60" s="11"/>
      <c r="I60" s="11"/>
      <c r="K60" s="11"/>
      <c r="L60" s="11"/>
      <c r="M60" s="56"/>
      <c r="N60" s="60"/>
    </row>
    <row r="61" spans="2:14" x14ac:dyDescent="0.25">
      <c r="F61" s="11"/>
      <c r="G61" s="11"/>
      <c r="H61" s="11"/>
      <c r="I61" s="11"/>
      <c r="K61" s="11"/>
      <c r="L61" s="11"/>
      <c r="M61" s="56"/>
      <c r="N61" s="60"/>
    </row>
    <row r="62" spans="2:14" x14ac:dyDescent="0.25">
      <c r="F62" s="11"/>
      <c r="G62" s="11"/>
      <c r="H62" s="11"/>
      <c r="I62" s="11"/>
      <c r="K62" s="11"/>
      <c r="L62" s="11"/>
      <c r="M62" s="56"/>
      <c r="N62" s="60"/>
    </row>
    <row r="63" spans="2:14" x14ac:dyDescent="0.25">
      <c r="F63" t="s">
        <v>62</v>
      </c>
      <c r="G63" t="s">
        <v>67</v>
      </c>
      <c r="H63" t="s">
        <v>75</v>
      </c>
      <c r="I63" t="s">
        <v>76</v>
      </c>
      <c r="L63" t="s">
        <v>63</v>
      </c>
      <c r="N63" s="4" t="s">
        <v>63</v>
      </c>
    </row>
    <row r="64" spans="2:14" x14ac:dyDescent="0.25">
      <c r="F64" s="1">
        <v>44927</v>
      </c>
      <c r="G64" s="5"/>
      <c r="H64" s="5"/>
      <c r="I64" s="5"/>
      <c r="J64" s="22"/>
      <c r="K64" s="5" t="s">
        <v>66</v>
      </c>
      <c r="L64" s="38" t="s">
        <v>202</v>
      </c>
      <c r="N64" s="62" t="s">
        <v>202</v>
      </c>
    </row>
    <row r="65" spans="2:14" x14ac:dyDescent="0.25">
      <c r="E65" t="s">
        <v>107</v>
      </c>
      <c r="F65" s="11">
        <f t="shared" ref="F65:K65" si="4">SUM(F54)</f>
        <v>1.8189894035458565E-12</v>
      </c>
      <c r="G65" s="11">
        <f t="shared" si="4"/>
        <v>-1.1368683772161603E-13</v>
      </c>
      <c r="H65" s="11">
        <f t="shared" si="4"/>
        <v>-383.02000000000044</v>
      </c>
      <c r="I65" s="11">
        <f t="shared" si="4"/>
        <v>-19995.34</v>
      </c>
      <c r="J65" s="11">
        <f t="shared" si="4"/>
        <v>0</v>
      </c>
      <c r="K65" s="11">
        <f t="shared" si="4"/>
        <v>-349</v>
      </c>
      <c r="L65" s="11">
        <f>SUM(L54)</f>
        <v>-20727.359999999993</v>
      </c>
      <c r="N65" s="4">
        <v>-21322.639999999999</v>
      </c>
    </row>
    <row r="66" spans="2:14" ht="18.75" x14ac:dyDescent="0.3">
      <c r="B66" s="3" t="s">
        <v>41</v>
      </c>
      <c r="F66" s="11"/>
      <c r="G66" s="11"/>
      <c r="H66" s="11"/>
      <c r="I66" s="11"/>
      <c r="K66" s="11"/>
      <c r="L66" s="11"/>
      <c r="M66" s="55" t="s">
        <v>68</v>
      </c>
      <c r="N66" s="60"/>
    </row>
    <row r="67" spans="2:14" x14ac:dyDescent="0.25">
      <c r="B67" s="2" t="s">
        <v>42</v>
      </c>
      <c r="F67" s="11"/>
      <c r="G67" s="11"/>
      <c r="H67" s="11"/>
      <c r="I67" s="11"/>
      <c r="K67" s="11"/>
      <c r="L67" s="11"/>
      <c r="M67" s="55" t="s">
        <v>68</v>
      </c>
      <c r="N67" s="60"/>
    </row>
    <row r="68" spans="2:14" x14ac:dyDescent="0.25">
      <c r="C68" t="s">
        <v>43</v>
      </c>
      <c r="F68" s="11"/>
      <c r="G68" s="11"/>
      <c r="H68" s="11"/>
      <c r="I68" s="11">
        <v>1430.52</v>
      </c>
      <c r="K68" s="11"/>
      <c r="L68" s="11">
        <f t="shared" ref="L68:L98" si="5">SUM(F68+G68+H68+I68+K68)</f>
        <v>1430.52</v>
      </c>
      <c r="M68" s="55" t="s">
        <v>68</v>
      </c>
      <c r="N68" s="60">
        <v>2698.26</v>
      </c>
    </row>
    <row r="69" spans="2:14" x14ac:dyDescent="0.25">
      <c r="C69" t="s">
        <v>219</v>
      </c>
      <c r="F69" s="11"/>
      <c r="G69" s="11"/>
      <c r="H69" s="11"/>
      <c r="I69" s="11"/>
      <c r="K69" s="11"/>
      <c r="L69" s="11">
        <f t="shared" si="5"/>
        <v>0</v>
      </c>
      <c r="M69" s="55" t="s">
        <v>68</v>
      </c>
      <c r="N69" s="60">
        <v>-380</v>
      </c>
    </row>
    <row r="70" spans="2:14" x14ac:dyDescent="0.25">
      <c r="C70" t="s">
        <v>89</v>
      </c>
      <c r="F70" s="11"/>
      <c r="G70" s="11"/>
      <c r="H70" s="11"/>
      <c r="I70" s="11">
        <f>2884.95-2295.01-165.36</f>
        <v>424.57999999999959</v>
      </c>
      <c r="K70" s="11"/>
      <c r="L70" s="11">
        <f t="shared" si="5"/>
        <v>424.57999999999959</v>
      </c>
      <c r="M70" s="55" t="s">
        <v>68</v>
      </c>
      <c r="N70" s="60">
        <v>351.85</v>
      </c>
    </row>
    <row r="71" spans="2:14" x14ac:dyDescent="0.25">
      <c r="C71" t="s">
        <v>44</v>
      </c>
      <c r="F71" s="11"/>
      <c r="G71" s="11"/>
      <c r="H71" s="11"/>
      <c r="I71" s="11">
        <f>29+72.12+64.24</f>
        <v>165.36</v>
      </c>
      <c r="K71" s="11"/>
      <c r="L71" s="11">
        <f t="shared" si="5"/>
        <v>165.36</v>
      </c>
      <c r="M71" s="55" t="s">
        <v>68</v>
      </c>
      <c r="N71" s="60">
        <v>151.1</v>
      </c>
    </row>
    <row r="72" spans="2:14" x14ac:dyDescent="0.25">
      <c r="C72" t="s">
        <v>45</v>
      </c>
      <c r="F72" s="11"/>
      <c r="G72" s="11"/>
      <c r="H72" s="11"/>
      <c r="I72" s="11">
        <v>694.04</v>
      </c>
      <c r="K72" s="11"/>
      <c r="L72" s="11">
        <f t="shared" si="5"/>
        <v>694.04</v>
      </c>
      <c r="M72" s="55" t="s">
        <v>68</v>
      </c>
      <c r="N72" s="60">
        <v>636.5</v>
      </c>
    </row>
    <row r="73" spans="2:14" x14ac:dyDescent="0.25">
      <c r="C73" t="s">
        <v>46</v>
      </c>
      <c r="F73" s="11"/>
      <c r="G73" s="11"/>
      <c r="H73" s="11"/>
      <c r="I73" s="11">
        <f>780.49-149.83</f>
        <v>630.66</v>
      </c>
      <c r="K73" s="11"/>
      <c r="L73" s="11">
        <f t="shared" si="5"/>
        <v>630.66</v>
      </c>
      <c r="M73" s="55" t="s">
        <v>68</v>
      </c>
      <c r="N73" s="60">
        <v>599.74</v>
      </c>
    </row>
    <row r="74" spans="2:14" x14ac:dyDescent="0.25">
      <c r="C74" t="s">
        <v>47</v>
      </c>
      <c r="F74" s="11"/>
      <c r="G74" s="11"/>
      <c r="H74" s="11"/>
      <c r="I74" s="11">
        <v>1284.8399999999999</v>
      </c>
      <c r="K74" s="11"/>
      <c r="L74" s="11">
        <f t="shared" si="5"/>
        <v>1284.8399999999999</v>
      </c>
      <c r="M74" s="55" t="s">
        <v>68</v>
      </c>
      <c r="N74" s="60">
        <v>1186.8</v>
      </c>
    </row>
    <row r="75" spans="2:14" x14ac:dyDescent="0.25">
      <c r="C75" t="s">
        <v>48</v>
      </c>
      <c r="F75" s="11"/>
      <c r="G75" s="11"/>
      <c r="H75" s="11"/>
      <c r="I75" s="11"/>
      <c r="K75" s="11"/>
      <c r="L75" s="11">
        <f t="shared" si="5"/>
        <v>0</v>
      </c>
      <c r="M75" s="55" t="s">
        <v>68</v>
      </c>
      <c r="N75" s="60">
        <v>0</v>
      </c>
    </row>
    <row r="76" spans="2:14" x14ac:dyDescent="0.25">
      <c r="D76" t="s">
        <v>240</v>
      </c>
      <c r="F76" s="11"/>
      <c r="G76" s="11"/>
      <c r="H76" s="11"/>
      <c r="I76" s="11">
        <v>2295.0100000000002</v>
      </c>
      <c r="K76" s="11"/>
      <c r="L76" s="11">
        <f t="shared" si="5"/>
        <v>2295.0100000000002</v>
      </c>
      <c r="M76" s="55" t="s">
        <v>68</v>
      </c>
      <c r="N76" s="60"/>
    </row>
    <row r="77" spans="2:14" x14ac:dyDescent="0.25">
      <c r="D77" t="s">
        <v>244</v>
      </c>
      <c r="F77" s="11"/>
      <c r="G77" s="11"/>
      <c r="H77" s="11"/>
      <c r="I77" s="11">
        <f>899+149.83</f>
        <v>1048.83</v>
      </c>
      <c r="K77" s="11"/>
      <c r="L77" s="11">
        <f t="shared" si="5"/>
        <v>1048.83</v>
      </c>
      <c r="M77" s="55" t="s">
        <v>68</v>
      </c>
      <c r="N77" s="60"/>
    </row>
    <row r="78" spans="2:14" x14ac:dyDescent="0.25">
      <c r="D78" t="s">
        <v>222</v>
      </c>
      <c r="F78" s="11"/>
      <c r="G78" s="11"/>
      <c r="H78" s="11"/>
      <c r="I78" s="11"/>
      <c r="K78" s="11"/>
      <c r="L78" s="11">
        <f t="shared" si="5"/>
        <v>0</v>
      </c>
      <c r="M78" s="55" t="s">
        <v>68</v>
      </c>
      <c r="N78" s="60">
        <v>179</v>
      </c>
    </row>
    <row r="79" spans="2:14" x14ac:dyDescent="0.25">
      <c r="D79" t="s">
        <v>220</v>
      </c>
      <c r="F79" s="11"/>
      <c r="G79" s="11"/>
      <c r="H79" s="11"/>
      <c r="I79" s="11"/>
      <c r="K79" s="11"/>
      <c r="L79" s="11">
        <f t="shared" si="5"/>
        <v>0</v>
      </c>
      <c r="M79" s="55" t="s">
        <v>68</v>
      </c>
      <c r="N79" s="60">
        <v>79</v>
      </c>
    </row>
    <row r="80" spans="2:14" x14ac:dyDescent="0.25">
      <c r="D80" t="s">
        <v>223</v>
      </c>
      <c r="F80" s="11"/>
      <c r="G80" s="11"/>
      <c r="H80" s="11"/>
      <c r="I80" s="11"/>
      <c r="K80" s="11"/>
      <c r="L80" s="11">
        <f t="shared" si="5"/>
        <v>0</v>
      </c>
      <c r="M80" s="55" t="s">
        <v>68</v>
      </c>
      <c r="N80" s="60">
        <v>260.25</v>
      </c>
    </row>
    <row r="81" spans="2:14" x14ac:dyDescent="0.25">
      <c r="D81" t="s">
        <v>224</v>
      </c>
      <c r="F81" s="11"/>
      <c r="G81" s="11"/>
      <c r="H81" s="11"/>
      <c r="I81" s="11"/>
      <c r="K81" s="11"/>
      <c r="L81" s="11">
        <f t="shared" si="5"/>
        <v>0</v>
      </c>
      <c r="M81" s="55" t="s">
        <v>68</v>
      </c>
      <c r="N81" s="60">
        <v>561.96</v>
      </c>
    </row>
    <row r="82" spans="2:14" ht="15.75" x14ac:dyDescent="0.25">
      <c r="B82" s="9" t="s">
        <v>50</v>
      </c>
      <c r="F82" s="11"/>
      <c r="G82" s="11"/>
      <c r="H82" s="11"/>
      <c r="I82" s="11"/>
      <c r="K82" s="11"/>
      <c r="L82" s="11">
        <f t="shared" si="5"/>
        <v>0</v>
      </c>
      <c r="M82" s="55" t="s">
        <v>68</v>
      </c>
      <c r="N82" s="60">
        <v>0</v>
      </c>
    </row>
    <row r="83" spans="2:14" x14ac:dyDescent="0.25">
      <c r="C83" t="s">
        <v>51</v>
      </c>
      <c r="F83" s="11"/>
      <c r="G83" s="11"/>
      <c r="H83" s="11"/>
      <c r="I83" s="11">
        <v>7128.6</v>
      </c>
      <c r="K83" s="11"/>
      <c r="L83" s="11">
        <f t="shared" si="5"/>
        <v>7128.6</v>
      </c>
      <c r="M83" s="55" t="s">
        <v>68</v>
      </c>
      <c r="N83" s="60">
        <v>8096.52</v>
      </c>
    </row>
    <row r="84" spans="2:14" x14ac:dyDescent="0.25">
      <c r="C84" t="s">
        <v>221</v>
      </c>
      <c r="F84" s="11"/>
      <c r="G84" s="11"/>
      <c r="I84" s="11">
        <v>1397.6</v>
      </c>
      <c r="J84" s="21" t="s">
        <v>207</v>
      </c>
      <c r="K84" s="11">
        <v>39</v>
      </c>
      <c r="L84" s="11">
        <f t="shared" si="5"/>
        <v>1436.6</v>
      </c>
      <c r="M84" s="55" t="s">
        <v>68</v>
      </c>
      <c r="N84" s="60">
        <v>1820.4400000000003</v>
      </c>
    </row>
    <row r="85" spans="2:14" x14ac:dyDescent="0.25">
      <c r="C85" t="s">
        <v>52</v>
      </c>
      <c r="F85" s="11"/>
      <c r="G85" s="11"/>
      <c r="H85" s="11"/>
      <c r="I85" s="11">
        <v>467.3</v>
      </c>
      <c r="K85" s="11"/>
      <c r="L85" s="11">
        <f t="shared" si="5"/>
        <v>467.3</v>
      </c>
      <c r="M85" s="55" t="s">
        <v>68</v>
      </c>
      <c r="N85" s="60">
        <v>393.25</v>
      </c>
    </row>
    <row r="86" spans="2:14" x14ac:dyDescent="0.25">
      <c r="C86" t="s">
        <v>53</v>
      </c>
      <c r="F86" s="11"/>
      <c r="G86" s="11"/>
      <c r="H86" s="11"/>
      <c r="I86" s="11">
        <v>701.62</v>
      </c>
      <c r="K86" s="11"/>
      <c r="L86" s="11">
        <f t="shared" si="5"/>
        <v>701.62</v>
      </c>
      <c r="M86" s="55" t="s">
        <v>68</v>
      </c>
      <c r="N86" s="60">
        <v>541.05999999999995</v>
      </c>
    </row>
    <row r="87" spans="2:14" x14ac:dyDescent="0.25">
      <c r="C87" t="s">
        <v>197</v>
      </c>
      <c r="F87" s="11"/>
      <c r="G87" s="11"/>
      <c r="H87" s="11"/>
      <c r="I87" s="11">
        <f>1530.61-899</f>
        <v>631.6099999999999</v>
      </c>
      <c r="K87" s="11"/>
      <c r="L87" s="11">
        <f t="shared" si="5"/>
        <v>631.6099999999999</v>
      </c>
      <c r="M87" s="55" t="s">
        <v>68</v>
      </c>
      <c r="N87" s="60">
        <v>582.24</v>
      </c>
    </row>
    <row r="88" spans="2:14" x14ac:dyDescent="0.25">
      <c r="C88" t="s">
        <v>198</v>
      </c>
      <c r="F88" s="11"/>
      <c r="G88" s="11"/>
      <c r="H88" s="11"/>
      <c r="I88" s="11"/>
      <c r="K88" s="11"/>
      <c r="L88" s="11">
        <f t="shared" si="5"/>
        <v>0</v>
      </c>
      <c r="M88" s="55" t="s">
        <v>68</v>
      </c>
      <c r="N88" s="60">
        <v>0</v>
      </c>
    </row>
    <row r="89" spans="2:14" x14ac:dyDescent="0.25">
      <c r="C89" t="s">
        <v>36</v>
      </c>
      <c r="F89" s="11"/>
      <c r="G89" s="11"/>
      <c r="H89" s="11"/>
      <c r="I89" s="11">
        <v>202.66</v>
      </c>
      <c r="K89" s="11"/>
      <c r="L89" s="11">
        <f t="shared" si="5"/>
        <v>202.66</v>
      </c>
      <c r="M89" s="55" t="s">
        <v>68</v>
      </c>
      <c r="N89" s="60">
        <v>98.78</v>
      </c>
    </row>
    <row r="90" spans="2:14" x14ac:dyDescent="0.25">
      <c r="C90" t="s">
        <v>242</v>
      </c>
      <c r="F90" s="11"/>
      <c r="G90" s="11"/>
      <c r="H90" s="11"/>
      <c r="I90" s="11"/>
      <c r="J90" s="21" t="s">
        <v>209</v>
      </c>
      <c r="K90" s="11">
        <v>522.5</v>
      </c>
      <c r="L90" s="11">
        <f t="shared" si="5"/>
        <v>522.5</v>
      </c>
      <c r="M90" s="55" t="s">
        <v>68</v>
      </c>
      <c r="N90" s="60">
        <v>1450</v>
      </c>
    </row>
    <row r="91" spans="2:14" x14ac:dyDescent="0.25">
      <c r="C91" t="s">
        <v>34</v>
      </c>
      <c r="F91" s="11"/>
      <c r="G91" s="11"/>
      <c r="H91" s="11"/>
      <c r="I91" s="11">
        <v>97.4</v>
      </c>
      <c r="K91" s="11"/>
      <c r="L91" s="11">
        <f t="shared" si="5"/>
        <v>97.4</v>
      </c>
      <c r="M91" s="55" t="s">
        <v>68</v>
      </c>
      <c r="N91" s="60">
        <v>57.06</v>
      </c>
    </row>
    <row r="92" spans="2:14" x14ac:dyDescent="0.25">
      <c r="C92" t="s">
        <v>243</v>
      </c>
      <c r="F92" s="11"/>
      <c r="G92" s="11"/>
      <c r="H92" s="11"/>
      <c r="I92" s="11"/>
      <c r="J92" s="21" t="s">
        <v>209</v>
      </c>
      <c r="K92" s="11">
        <v>187.5</v>
      </c>
      <c r="L92" s="11">
        <f t="shared" si="5"/>
        <v>187.5</v>
      </c>
      <c r="M92" s="55" t="s">
        <v>68</v>
      </c>
      <c r="N92" s="60">
        <v>530</v>
      </c>
    </row>
    <row r="93" spans="2:14" ht="15.75" x14ac:dyDescent="0.25">
      <c r="B93" s="9" t="s">
        <v>55</v>
      </c>
      <c r="F93" s="11"/>
      <c r="G93" s="11"/>
      <c r="H93" s="11"/>
      <c r="I93" s="11"/>
      <c r="K93" s="11"/>
      <c r="L93" s="11"/>
      <c r="M93" s="55" t="s">
        <v>68</v>
      </c>
      <c r="N93" s="60"/>
    </row>
    <row r="94" spans="2:14" x14ac:dyDescent="0.25">
      <c r="C94" t="s">
        <v>56</v>
      </c>
      <c r="F94" s="11"/>
      <c r="G94" s="11"/>
      <c r="H94" s="11"/>
      <c r="I94" s="11">
        <v>502.97</v>
      </c>
      <c r="J94" s="21" t="s">
        <v>245</v>
      </c>
      <c r="K94" s="11">
        <v>-400</v>
      </c>
      <c r="L94" s="11">
        <f t="shared" si="5"/>
        <v>102.97000000000003</v>
      </c>
      <c r="M94" s="55" t="s">
        <v>68</v>
      </c>
      <c r="N94" s="60">
        <v>68.97</v>
      </c>
    </row>
    <row r="95" spans="2:14" x14ac:dyDescent="0.25">
      <c r="C95" t="s">
        <v>196</v>
      </c>
      <c r="F95" s="11"/>
      <c r="G95" s="11"/>
      <c r="H95" s="11"/>
      <c r="I95" s="11"/>
      <c r="K95" s="11"/>
      <c r="L95" s="11">
        <f>SUM(F95+G95+H95+I95+K95)</f>
        <v>0</v>
      </c>
      <c r="M95" s="55" t="s">
        <v>68</v>
      </c>
      <c r="N95" s="60">
        <v>0</v>
      </c>
    </row>
    <row r="96" spans="2:14" x14ac:dyDescent="0.25">
      <c r="C96" t="s">
        <v>121</v>
      </c>
      <c r="F96" s="11"/>
      <c r="G96" s="11"/>
      <c r="H96" s="11"/>
      <c r="I96" s="11">
        <v>613.47</v>
      </c>
      <c r="K96" s="11"/>
      <c r="L96" s="11">
        <f t="shared" si="5"/>
        <v>613.47</v>
      </c>
      <c r="M96" s="55" t="s">
        <v>68</v>
      </c>
      <c r="N96" s="60">
        <v>851.81</v>
      </c>
    </row>
    <row r="97" spans="3:14" x14ac:dyDescent="0.25">
      <c r="C97" t="s">
        <v>59</v>
      </c>
      <c r="F97" s="11"/>
      <c r="G97" s="11"/>
      <c r="H97" s="11">
        <v>383.02</v>
      </c>
      <c r="I97" s="11">
        <v>278.27</v>
      </c>
      <c r="K97" s="11"/>
      <c r="L97" s="11">
        <f t="shared" si="5"/>
        <v>661.29</v>
      </c>
      <c r="M97" s="55" t="s">
        <v>68</v>
      </c>
      <c r="N97" s="60">
        <v>508.04999999999995</v>
      </c>
    </row>
    <row r="98" spans="3:14" x14ac:dyDescent="0.25">
      <c r="F98" s="11"/>
      <c r="G98" s="11"/>
      <c r="H98" s="11"/>
      <c r="I98" s="11"/>
      <c r="K98" s="11"/>
      <c r="L98" s="11">
        <f t="shared" si="5"/>
        <v>0</v>
      </c>
      <c r="M98" s="55" t="s">
        <v>68</v>
      </c>
      <c r="N98" s="60">
        <v>0</v>
      </c>
    </row>
    <row r="99" spans="3:14" ht="15.75" thickBot="1" x14ac:dyDescent="0.3">
      <c r="F99" s="15">
        <f>SUM(F65:F98)</f>
        <v>1.8189894035458565E-12</v>
      </c>
      <c r="G99" s="15">
        <f t="shared" ref="G99:L99" si="6">SUM(G65:G98)</f>
        <v>-1.1368683772161603E-13</v>
      </c>
      <c r="H99" s="15">
        <f t="shared" si="6"/>
        <v>-4.5474735088646412E-13</v>
      </c>
      <c r="I99" s="15">
        <f t="shared" si="6"/>
        <v>4.5474735088646412E-13</v>
      </c>
      <c r="J99" s="11"/>
      <c r="K99" s="15">
        <f t="shared" si="6"/>
        <v>0</v>
      </c>
      <c r="L99" s="15">
        <f t="shared" si="6"/>
        <v>7.2759576141834259E-12</v>
      </c>
      <c r="M99" s="55"/>
      <c r="N99" s="64">
        <v>0</v>
      </c>
    </row>
    <row r="100" spans="3:14" ht="15.75" thickTop="1" x14ac:dyDescent="0.25">
      <c r="F100" s="11"/>
      <c r="G100" s="11" t="s">
        <v>116</v>
      </c>
      <c r="H100" s="11" t="s">
        <v>116</v>
      </c>
      <c r="I100" s="11" t="s">
        <v>116</v>
      </c>
      <c r="K100" s="11"/>
      <c r="L100" s="11"/>
      <c r="M100" s="56"/>
      <c r="N100" s="60"/>
    </row>
    <row r="101" spans="3:14" x14ac:dyDescent="0.25">
      <c r="G101" t="s">
        <v>117</v>
      </c>
      <c r="H101" t="s">
        <v>117</v>
      </c>
      <c r="I10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StaatB&amp;L2025</vt:lpstr>
      <vt:lpstr>balans 31122025</vt:lpstr>
      <vt:lpstr>koba 25</vt:lpstr>
      <vt:lpstr>StaatB&amp;L2024</vt:lpstr>
      <vt:lpstr>balans 31122024</vt:lpstr>
      <vt:lpstr>koba 24</vt:lpstr>
      <vt:lpstr>Staat B&amp;L23</vt:lpstr>
      <vt:lpstr>balans31dec23</vt:lpstr>
      <vt:lpstr>koba 23</vt:lpstr>
      <vt:lpstr>Staat B&amp;L22</vt:lpstr>
      <vt:lpstr>balans 31dec22</vt:lpstr>
      <vt:lpstr>koba 2022</vt:lpstr>
      <vt:lpstr>Staat B&amp;L 2021</vt:lpstr>
      <vt:lpstr>Balans 31dec21</vt:lpstr>
      <vt:lpstr>koba 2021</vt:lpstr>
      <vt:lpstr>Staat van baten en lasten</vt:lpstr>
      <vt:lpstr>balans</vt:lpstr>
      <vt:lpstr>koba 2020HKE</vt:lpstr>
      <vt:lpstr>stukken jaarvergadering 2019</vt:lpstr>
      <vt:lpstr>koba 2019 HKE</vt:lpstr>
      <vt:lpstr>koba 2018 KHE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Boekhouding</dc:creator>
  <cp:lastModifiedBy>jan de bruijn</cp:lastModifiedBy>
  <cp:lastPrinted>2026-04-03T19:44:18Z</cp:lastPrinted>
  <dcterms:created xsi:type="dcterms:W3CDTF">2019-02-28T07:37:10Z</dcterms:created>
  <dcterms:modified xsi:type="dcterms:W3CDTF">2026-04-03T19:54:11Z</dcterms:modified>
</cp:coreProperties>
</file>